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2.xml" ContentType="application/vnd.openxmlformats-officedocument.spreadsheetml.table+xml"/>
  <Override PartName="/xl/worksheets/sheet8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1d29a55b2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ano 5 anni" sheetId="1" r:id="R11d7973bd79f425f"/>
    <x:sheet xmlns:r="http://schemas.openxmlformats.org/officeDocument/2006/relationships" name="Ipotesi BP" sheetId="2" r:id="R7e382551ff424c28"/>
    <x:sheet xmlns:r="http://schemas.openxmlformats.org/officeDocument/2006/relationships" name="Sviluppo mensile" sheetId="3" r:id="R777fce33529f4668"/>
    <x:sheet xmlns:r="http://schemas.openxmlformats.org/officeDocument/2006/relationships" name="Pilot 90 giorni" sheetId="4" r:id="R82991b10cf5240e5"/>
    <x:sheet xmlns:r="http://schemas.openxmlformats.org/officeDocument/2006/relationships" name="Matrice" sheetId="5" r:id="R1f504f4795214507"/>
    <x:sheet xmlns:r="http://schemas.openxmlformats.org/officeDocument/2006/relationships" name="Economics" sheetId="6" r:id="Rba8eaadd1b734816"/>
    <x:sheet xmlns:r="http://schemas.openxmlformats.org/officeDocument/2006/relationships" name="Prezzi" sheetId="7" r:id="R32fac089f3ce4420"/>
    <x:sheet xmlns:r="http://schemas.openxmlformats.org/officeDocument/2006/relationships" name="Fonti" sheetId="8" r:id="R74a6cace12ab49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&quot;–&quot;"/>
    <x:numFmt numFmtId="201" formatCode="0.0%"/>
    <x:numFmt numFmtId="202" formatCode="0.00"/>
    <x:numFmt numFmtId="203" formatCode="0.0"/>
    <x:numFmt numFmtId="204" formatCode="0"/>
    <x:numFmt numFmtId="205" formatCode="#,##0"/>
    <x:numFmt numFmtId="206" formatCode="#,##0.00;(#,##0.00);&quot;–&quot;"/>
    <x:numFmt numFmtId="207" formatCode="dd/mm/yyyy"/>
  </x:numFmts>
  <x:fonts count="8">
    <x:font>
      <x:sz val="11"/>
      <x:name val="Carlito"/>
    </x:font>
    <x:font>
      <x:sz val="10"/>
      <x:color rgb="FF172B38"/>
      <x:name val="Arial"/>
    </x:font>
    <x:font>
      <x:sz val="16"/>
      <x:color rgb="FF172B38"/>
      <x:name val="Arial"/>
    </x:font>
    <x:font>
      <x:b/>
      <x:sz val="10"/>
      <x:color rgb="FFFFFFFF"/>
      <x:name val="Arial"/>
    </x:font>
    <x:font>
      <x:sz val="10"/>
      <x:color rgb="FF1B5CBE"/>
      <x:name val="Arial"/>
    </x:font>
    <x:font>
      <x:sz val="10"/>
      <x:color rgb="FF008040"/>
      <x:name val="Arial"/>
    </x:font>
    <x:font>
      <x:b/>
      <x:sz val="10"/>
      <x:color rgb="FF172B38"/>
      <x:name val="Arial"/>
    </x:font>
    <x:font>
      <x:b/>
      <x:sz val="16"/>
      <x:color rgb="FF183B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B4D"/>
      </x:patternFill>
    </x:fill>
    <x:fill>
      <x:patternFill patternType="solid">
        <x:fgColor rgb="FFFFF4CF"/>
      </x:patternFill>
    </x:fill>
    <x:fill>
      <x:patternFill patternType="solid">
        <x:fgColor rgb="FFE2F0ED"/>
      </x:patternFill>
    </x:fill>
    <x:fill>
      <x:patternFill patternType="solid">
        <x:fgColor rgb="FFF1F6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2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3" fontId="4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205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206" fontId="1" fillId="0" borderId="0" xfId="0" applyNumberFormat="1" applyFont="1" applyFill="1" applyBorder="1" applyAlignment="1">
      <x:alignment vertical="top"/>
    </x:xf>
    <x:xf numFmtId="206" fontId="3" fillId="2" borderId="0" xfId="0" applyNumberFormat="1" applyFont="1" applyFill="1" applyBorder="1" applyAlignment="1">
      <x:alignment horizontal="center" vertical="center" wrapText="1"/>
    </x:xf>
    <x:xf numFmtId="205" fontId="1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206" fontId="4" fillId="3" borderId="0" xfId="0" applyNumberFormat="1" applyFont="1" applyFill="1" applyBorder="1" applyAlignment="1">
      <x:alignment vertical="top"/>
    </x:xf>
    <x:xf numFmtId="201" fontId="4" fillId="3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206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206" fontId="6" fillId="4" borderId="0" xfId="0" applyNumberFormat="1" applyFont="1" applyFill="1" applyBorder="1" applyAlignment="1">
      <x:alignment vertical="top"/>
    </x:xf>
    <x:xf numFmtId="205" fontId="1" fillId="4" borderId="0" xfId="0" applyNumberFormat="1" applyFont="1" applyFill="1" applyBorder="1" applyAlignment="1">
      <x:alignment vertical="top"/>
    </x:xf>
    <x:xf numFmtId="205" fontId="6" fillId="4" borderId="0" xfId="0" applyNumberFormat="1" applyFont="1" applyFill="1" applyBorder="1" applyAlignment="1">
      <x:alignment vertical="top"/>
    </x:xf>
    <x:xf numFmtId="200" fontId="1" fillId="4" borderId="0" xfId="0" applyNumberFormat="1" applyFont="1" applyFill="1" applyBorder="1" applyAlignment="1">
      <x:alignment vertical="top"/>
    </x:xf>
    <x:xf numFmtId="200" fontId="6" fillId="4" borderId="0" xfId="0" applyNumberFormat="1" applyFont="1" applyFill="1" applyBorder="1" applyAlignment="1">
      <x:alignment vertical="top"/>
    </x:xf>
    <x:xf numFmtId="202" fontId="1" fillId="0" borderId="0" xfId="0" applyNumberFormat="1" applyFont="1" applyFill="1" applyBorder="1" applyAlignment="1">
      <x:alignment vertical="top"/>
    </x:xf>
    <x:xf numFmtId="204" fontId="1" fillId="0" borderId="0" xfId="0" applyNumberFormat="1" applyFont="1" applyFill="1" applyBorder="1" applyAlignment="1">
      <x:alignment vertical="top"/>
    </x:xf>
    <x:xf numFmtId="202" fontId="1" fillId="0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vertical="top" wrapText="1"/>
    </x:xf>
    <x:xf numFmtId="207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c0fae40624b0c" /><Relationship Type="http://schemas.openxmlformats.org/officeDocument/2006/relationships/theme" Target="/xl/theme/theme1.xml" Id="R7420cf01b9da45e4" /><Relationship Type="http://schemas.openxmlformats.org/officeDocument/2006/relationships/sharedStrings" Target="/xl/sharedStrings.xml" Id="Ra9468b32dc9d4885" /><Relationship Type="http://schemas.openxmlformats.org/officeDocument/2006/relationships/worksheet" Target="/xl/worksheets/sheet1.xml" Id="R11d7973bd79f425f" /><Relationship Type="http://schemas.openxmlformats.org/officeDocument/2006/relationships/worksheet" Target="/xl/worksheets/sheet2.xml" Id="R7e382551ff424c28" /><Relationship Type="http://schemas.openxmlformats.org/officeDocument/2006/relationships/worksheet" Target="/xl/worksheets/sheet3.xml" Id="R777fce33529f4668" /><Relationship Type="http://schemas.openxmlformats.org/officeDocument/2006/relationships/worksheet" Target="/xl/worksheets/sheet4.xml" Id="R82991b10cf5240e5" /><Relationship Type="http://schemas.openxmlformats.org/officeDocument/2006/relationships/worksheet" Target="/xl/worksheets/sheet5.xml" Id="R1f504f4795214507" /><Relationship Type="http://schemas.openxmlformats.org/officeDocument/2006/relationships/worksheet" Target="/xl/worksheets/sheet6.xml" Id="Rba8eaadd1b734816" /><Relationship Type="http://schemas.openxmlformats.org/officeDocument/2006/relationships/worksheet" Target="/xl/worksheets/sheet7.xml" Id="R32fac089f3ce4420" /><Relationship Type="http://schemas.openxmlformats.org/officeDocument/2006/relationships/worksheet" Target="/xl/worksheets/sheet8.xml" Id="R74a6cace12ab4924" /></Relationships>
</file>

<file path=xl/tables/table1.xml><?xml version="1.0" encoding="utf-8"?>
<x:table xmlns:x="http://schemas.openxmlformats.org/spreadsheetml/2006/main" id="1" name="CompetitiveMatrix" displayName="CompetitiveMatrix" ref="A6:AM48" headerRowCount="1" totalsRowCount="0" totalsRowShown="0">
  <x:tableColumns count="39">
    <x:tableColumn id="1" name="Nome"/>
    <x:tableColumn id="2" name="URL"/>
    <x:tableColumn id="3" name="Categoria"/>
    <x:tableColumn id="4" name="Origine"/>
    <x:tableColumn id="5" name="Paesi coperti"/>
    <x:tableColumn id="6" name="Città/location"/>
    <x:tableColumn id="7" name="Fondazione"/>
    <x:tableColumn id="8" name="Modello"/>
    <x:tableColumn id="9" name="Tipo rete"/>
    <x:tableColumn id="10" name="Partner"/>
    <x:tableColumn id="11" name="Sede legale"/>
    <x:tableColumn id="12" name="Business address"/>
    <x:tableColumn id="13" name="Posta"/>
    <x:tableColumn id="14" name="Scansione"/>
    <x:tableColumn id="15" name="Inoltro"/>
    <x:tableColumn id="16" name="Sale"/>
    <x:tableColumn id="17" name="Uffici"/>
    <x:tableColumn id="18" name="Coworking"/>
    <x:tableColumn id="19" name="Costituzione"/>
    <x:tableColumn id="20" name="Accounting"/>
    <x:tableColumn id="21" name="KYC/KYB"/>
    <x:tableColumn id="22" name="AML"/>
    <x:tableColumn id="23" name="Onboarding digitale"/>
    <x:tableColumn id="24" name="Firma elettronica"/>
    <x:tableColumn id="25" name="Pagamento online"/>
    <x:tableColumn id="26" name="Dashboard cliente"/>
    <x:tableColumn id="27" name="Dashboard partner"/>
    <x:tableColumn id="28" name="API"/>
    <x:tableColumn id="29" name="White label"/>
    <x:tableColumn id="30" name="Prezzi"/>
    <x:tableColumn id="31" name="Commissione/markup"/>
    <x:tableColumn id="32" name="Acquisizione"/>
    <x:tableColumn id="33" name="SEO/SEM"/>
    <x:tableColumn id="34" name="Recensioni/criticità"/>
    <x:tableColumn id="35" name="Traction"/>
    <x:tableColumn id="36" name="Funding/investitori"/>
    <x:tableColumn id="37" name="Dati economici verificati"/>
    <x:tableColumn id="38" name="Traffico web verificato"/>
    <x:tableColumn id="39" name="Fonti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ObservedPrices" displayName="ObservedPrices" ref="A6:L30" headerRowCount="1" totalsRowCount="0" totalsRowShown="0">
  <x:tableColumns count="12">
    <x:tableColumn id="1" name="Operatore"/>
    <x:tableColumn id="2" name="Città"/>
    <x:tableColumn id="3" name="Servizio"/>
    <x:tableColumn id="4" name="Importo contratto"/>
    <x:tableColumn id="5" name="Mesi"/>
    <x:tableColumn id="6" name="Valuta"/>
    <x:tableColumn id="7" name="Equivalente/mese"/>
    <x:tableColumn id="8" name="IVA"/>
    <x:tableColumn id="9" name="Setup"/>
    <x:tableColumn id="10" name="Extra"/>
    <x:tableColumn id="11" name="Note"/>
    <x:tableColumn id="12" name="Font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ourceRegister" displayName="SourceRegister" ref="A6:D174" headerRowCount="1" totalsRowCount="0" totalsRowShown="0">
  <x:tableColumns count="4">
    <x:tableColumn id="1" name="Codice"/>
    <x:tableColumn id="2" name="Titolo"/>
    <x:tableColumn id="3" name="URL"/>
    <x:tableColumn id="4" name="Consultazio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c44c0f668e2d4ce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2.xml" Id="Reea939848f004e2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3.xml" Id="R0ad4ef9a003546d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5" customHeight="1">
      <x:c r="A1" s="2" t="str">
        <x:v>Adrexa · conto economico, cassa e stato patrimoniale 2027–2031</x:v>
      </x:c>
      <x:c r="B1" s="1"/>
      <x:c r="C1" s="1"/>
      <x:c r="D1" s="1"/>
      <x:c r="E1" s="1"/>
      <x:c r="F1" s="1"/>
    </x:row>
    <x:row r="2" ht="25" customHeight="1">
      <x:c r="A2" s="1"/>
      <x:c r="B2" s="1"/>
      <x:c r="C2" s="1"/>
      <x:c r="D2" s="1"/>
      <x:c r="E2" s="1"/>
      <x:c r="F2" s="1"/>
    </x:row>
    <x:row r="3" ht="25" customHeight="1">
      <x:c r="A3" s="1" t="str">
        <x:v>Pro-forma condizionato agli apporti in Ipotesi BP. Solo €10k iniziali: vedere deficit e cassa mensile.</x:v>
      </x:c>
      <x:c r="B3" s="1"/>
      <x:c r="C3" s="1"/>
      <x:c r="D3" s="1"/>
      <x:c r="E3" s="1"/>
      <x:c r="F3" s="1"/>
    </x:row>
    <x:row r="4" ht="25" customHeight="1">
      <x:c r="A4" s="1"/>
      <x:c r="B4" s="1"/>
      <x:c r="C4" s="1"/>
      <x:c r="D4" s="1"/>
      <x:c r="E4" s="1"/>
      <x:c r="F4" s="1"/>
    </x:row>
    <x:row r="5" ht="36" customHeight="1">
      <x:c r="A5" s="5" t="str">
        <x:v>EUR salvo clienti</x:v>
      </x:c>
      <x:c r="B5" s="5" t="n">
        <x:v>2027</x:v>
      </x:c>
      <x:c r="C5" s="5" t="n">
        <x:v>2028</x:v>
      </x:c>
      <x:c r="D5" s="5" t="n">
        <x:v>2029</x:v>
      </x:c>
      <x:c r="E5" s="5" t="n">
        <x:v>2030</x:v>
      </x:c>
      <x:c r="F5" s="5" t="n">
        <x:v>2031</x:v>
      </x:c>
    </x:row>
    <x:row r="6" ht="25" customHeight="1">
      <x:c r="A6" s="1" t="str">
        <x:v>Nuovi clienti</x:v>
      </x:c>
      <x:c r="B6" s="17" t="n">
        <x:f>SUM('Sviluppo mensile'!D6:D17)</x:f>
        <x:v>60</x:v>
      </x:c>
      <x:c r="C6" s="17" t="n">
        <x:f>SUM('Sviluppo mensile'!D18:D29)</x:f>
        <x:v>141</x:v>
      </x:c>
      <x:c r="D6" s="17" t="n">
        <x:f>SUM('Sviluppo mensile'!D30:D41)</x:f>
        <x:v>258</x:v>
      </x:c>
      <x:c r="E6" s="17" t="n">
        <x:f>SUM('Sviluppo mensile'!D42:D53)</x:f>
        <x:v>399.99999999999994</x:v>
      </x:c>
      <x:c r="F6" s="17" t="n">
        <x:f>SUM('Sviluppo mensile'!D54:D65)</x:f>
        <x:v>540</x:v>
      </x:c>
    </x:row>
    <x:row r="7" ht="25" customHeight="1">
      <x:c r="A7" s="1" t="str">
        <x:v>Clienti a fine anno</x:v>
      </x:c>
      <x:c r="B7" s="17" t="n">
        <x:f>'Sviluppo mensile'!F17</x:f>
        <x:v>53.82081906629999</x:v>
      </x:c>
      <x:c r="C7" s="17" t="n">
        <x:f>'Sviluppo mensile'!F29</x:f>
        <x:v>168.71302161223537</x:v>
      </x:c>
      <x:c r="D7" s="17" t="n">
        <x:f>'Sviluppo mensile'!F41</x:f>
        <x:v>363.82145155604184</x:v>
      </x:c>
      <x:c r="E7" s="17" t="n">
        <x:f>'Sviluppo mensile'!F53</x:f>
        <x:v>644.3022379314965</x:v>
      </x:c>
      <x:c r="F7" s="17" t="n">
        <x:f>'Sviluppo mensile'!F65</x:f>
        <x:v>989.9821128413033</x:v>
      </x:c>
    </x:row>
    <x:row r="8" ht="25" customHeight="1">
      <x:c r="A8" s="1" t="str">
        <x:v>Clienti medi annui</x:v>
      </x:c>
      <x:c r="B8" s="17" t="n">
        <x:f>SUM('Sviluppo mensile'!G6:G17)/12</x:f>
        <x:v>27.989121351512534</x:v>
      </x:c>
      <x:c r="C8" s="17" t="n">
        <x:f>SUM('Sviluppo mensile'!G18:G29)/12</x:f>
        <x:v>113.56966449801655</x:v>
      </x:c>
      <x:c r="D8" s="17" t="n">
        <x:f>SUM('Sviluppo mensile'!G30:G41)/12</x:f>
        <x:v>270.1777264817984</x:v>
      </x:c>
      <x:c r="E8" s="17" t="n">
        <x:f>SUM('Sviluppo mensile'!G42:G53)/12</x:f>
        <x:v>509.68342286791676</x:v>
      </x:c>
      <x:c r="F8" s="17" t="n">
        <x:f>SUM('Sviluppo mensile'!G54:G65)/12</x:f>
        <x:v>824.0705159970462</x:v>
      </x:c>
    </x:row>
    <x:row r="9" ht="25" customHeight="1">
      <x:c r="A9" s="1"/>
      <x:c r="B9" s="17"/>
      <x:c r="C9" s="17"/>
      <x:c r="D9" s="17"/>
      <x:c r="E9" s="17"/>
      <x:c r="F9" s="17"/>
    </x:row>
    <x:row r="10" ht="25" customHeight="1">
      <x:c r="A10" s="21" t="str">
        <x:v>RICAVI (modello rivenditore principal)</x:v>
      </x:c>
      <x:c r="B10" s="22" t="n">
        <x:f>SUM('Sviluppo mensile'!H6:H17)</x:f>
        <x:v>26533.687041233887</x:v>
      </x:c>
      <x:c r="C10" s="22" t="n">
        <x:f>SUM('Sviluppo mensile'!H18:H29)</x:f>
        <x:v>107664.0419441197</x:v>
      </x:c>
      <x:c r="D10" s="22" t="n">
        <x:f>SUM('Sviluppo mensile'!H30:H41)</x:f>
        <x:v>256128.48470474491</x:v>
      </x:c>
      <x:c r="E10" s="22" t="n">
        <x:f>SUM('Sviluppo mensile'!H42:H53)</x:f>
        <x:v>483179.884878785</x:v>
      </x:c>
      <x:c r="F10" s="22" t="n">
        <x:f>SUM('Sviluppo mensile'!H54:H65)</x:f>
        <x:v>781218.8491651998</x:v>
      </x:c>
    </x:row>
    <x:row r="11" ht="25" customHeight="1">
      <x:c r="A11" s="1" t="str">
        <x:v>Costo sedi partner</x:v>
      </x:c>
      <x:c r="B11" s="17" t="n">
        <x:f>SUM('Sviluppo mensile'!I6:I17)</x:f>
        <x:v>16793.47281090752</x:v>
      </x:c>
      <x:c r="C11" s="17" t="n">
        <x:f>SUM('Sviluppo mensile'!I18:I29)</x:f>
        <x:v>70186.05265977423</x:v>
      </x:c>
      <x:c r="D11" s="17" t="n">
        <x:f>SUM('Sviluppo mensile'!I30:I41)</x:f>
        <x:v>171995.14067831286</x:v>
      </x:c>
      <x:c r="E11" s="17" t="n">
        <x:f>SUM('Sviluppo mensile'!I42:I53)</x:f>
        <x:v>334189.2267060356</x:v>
      </x:c>
      <x:c r="F11" s="17" t="n">
        <x:f>SUM('Sviluppo mensile'!I54:I65)</x:f>
        <x:v>556544.2636837651</x:v>
      </x:c>
    </x:row>
    <x:row r="12" ht="25" customHeight="1">
      <x:c r="A12" s="1" t="str">
        <x:v>Pagamento PSP</x:v>
      </x:c>
      <x:c r="B12" s="17" t="n">
        <x:f>SUM('Sviluppo mensile'!J6:J17)</x:f>
        <x:v>569.5338369091177</x:v>
      </x:c>
      <x:c r="C12" s="17" t="n">
        <x:f>SUM('Sviluppo mensile'!J18:J29)</x:f>
        <x:v>2310.96096107144</x:v>
      </x:c>
      <x:c r="D12" s="17" t="n">
        <x:f>SUM('Sviluppo mensile'!J30:J41)</x:f>
        <x:v>5497.684449542227</x:v>
      </x:c>
      <x:c r="E12" s="17" t="n">
        <x:f>SUM('Sviluppo mensile'!J42:J53)</x:f>
        <x:v>10371.242161885517</x:v>
      </x:c>
      <x:c r="F12" s="17" t="n">
        <x:f>SUM('Sviluppo mensile'!J54:J65)</x:f>
        <x:v>16768.516487714292</x:v>
      </x:c>
    </x:row>
    <x:row r="13" ht="25" customHeight="1">
      <x:c r="A13" s="1" t="str">
        <x:v>Tecnologia variabile e perdite</x:v>
      </x:c>
      <x:c r="B13" s="17" t="n">
        <x:f>SUM('Sviluppo mensile'!K6:K17)</x:f>
        <x:v>937.0757828486396</x:v>
      </x:c>
      <x:c r="C13" s="17" t="n">
        <x:f>SUM('Sviluppo mensile'!K18:K29)</x:f>
        <x:v>3802.3123673935947</x:v>
      </x:c>
      <x:c r="D13" s="17" t="n">
        <x:f>SUM('Sviluppo mensile'!K30:K41)</x:f>
        <x:v>9045.550282610611</x:v>
      </x:c>
      <x:c r="E13" s="17" t="n">
        <x:f>SUM('Sviluppo mensile'!K42:K53)</x:f>
        <x:v>17064.200997617852</x:v>
      </x:c>
      <x:c r="F13" s="17" t="n">
        <x:f>SUM('Sviluppo mensile'!K54:K65)</x:f>
        <x:v>27589.880875581104</x:v>
      </x:c>
    </x:row>
    <x:row r="14" ht="25" customHeight="1">
      <x:c r="A14" s="1" t="str">
        <x:v>KYC/KYB</x:v>
      </x:c>
      <x:c r="B14" s="17" t="n">
        <x:f>SUM('Sviluppo mensile'!L6:L17)</x:f>
        <x:v>1440</x:v>
      </x:c>
      <x:c r="C14" s="17" t="n">
        <x:f>SUM('Sviluppo mensile'!L18:L29)</x:f>
        <x:v>3384</x:v>
      </x:c>
      <x:c r="D14" s="17" t="n">
        <x:f>SUM('Sviluppo mensile'!L30:L41)</x:f>
        <x:v>6192</x:v>
      </x:c>
      <x:c r="E14" s="17" t="n">
        <x:f>SUM('Sviluppo mensile'!L42:L53)</x:f>
        <x:v>9600</x:v>
      </x:c>
      <x:c r="F14" s="17" t="n">
        <x:f>SUM('Sviluppo mensile'!L54:L65)</x:f>
        <x:v>12960</x:v>
      </x:c>
    </x:row>
    <x:row r="15" ht="25" customHeight="1">
      <x:c r="A15" s="21" t="str">
        <x:v>MARGINE DOPO COSTI DIRETTI</x:v>
      </x:c>
      <x:c r="B15" s="22" t="n">
        <x:f>B10-SUM(B11:B14)</x:f>
        <x:v>6793.604610568611</x:v>
      </x:c>
      <x:c r="C15" s="22" t="n">
        <x:f>C10-SUM(C11:C14)</x:f>
        <x:v>27980.71595588044</x:v>
      </x:c>
      <x:c r="D15" s="22" t="n">
        <x:f>D10-SUM(D11:D14)</x:f>
        <x:v>63398.10929427922</x:v>
      </x:c>
      <x:c r="E15" s="22" t="n">
        <x:f>E10-SUM(E11:E14)</x:f>
        <x:v>111955.215013246</x:v>
      </x:c>
      <x:c r="F15" s="22" t="n">
        <x:f>F10-SUM(F11:F14)</x:f>
        <x:v>167356.1881181394</x:v>
      </x:c>
    </x:row>
    <x:row r="16" ht="25" customHeight="1">
      <x:c r="A16" s="1" t="str">
        <x:v>Margine dopo founder e operations</x:v>
      </x:c>
      <x:c r="B16" s="17" t="n">
        <x:f>B15-B18-B19</x:f>
        <x:v>6793.604610568611</x:v>
      </x:c>
      <x:c r="C16" s="17" t="n">
        <x:f>C15-C18-C19</x:f>
        <x:v>-20559.28404411956</x:v>
      </x:c>
      <x:c r="D16" s="17" t="n">
        <x:f>D15-D18-D19</x:f>
        <x:v>-10793.890705720783</x:v>
      </x:c>
      <x:c r="E16" s="17" t="n">
        <x:f>E15-E18-E19</x:f>
        <x:v>10948.215013245994</x:v>
      </x:c>
      <x:c r="F16" s="17" t="n">
        <x:f>F15-F18-F19</x:f>
        <x:v>38320.1881181394</x:v>
      </x:c>
    </x:row>
    <x:row r="17" ht="25" customHeight="1">
      <x:c r="A17" s="1" t="str">
        <x:v>Marketing: costi vivi</x:v>
      </x:c>
      <x:c r="B17" s="17" t="n">
        <x:f>SUM('Sviluppo mensile'!M6:M17)</x:f>
        <x:v>8400</x:v>
      </x:c>
      <x:c r="C17" s="17" t="n">
        <x:f>SUM('Sviluppo mensile'!M18:M29)</x:f>
        <x:v>19200</x:v>
      </x:c>
      <x:c r="D17" s="17" t="n">
        <x:f>SUM('Sviluppo mensile'!M30:M41)</x:f>
        <x:v>34200</x:v>
      </x:c>
      <x:c r="E17" s="17" t="n">
        <x:f>SUM('Sviluppo mensile'!M42:M53)</x:f>
        <x:v>52200</x:v>
      </x:c>
      <x:c r="F17" s="17" t="n">
        <x:f>SUM('Sviluppo mensile'!M54:M65)</x:f>
        <x:v>70200</x:v>
      </x:c>
    </x:row>
    <x:row r="18" ht="25" customHeight="1">
      <x:c r="A18" s="1" t="str">
        <x:v>Founder: costo società totale</x:v>
      </x:c>
      <x:c r="B18" s="17" t="n">
        <x:f>SUM('Sviluppo mensile'!N6:N17)</x:f>
        <x:v>0</x:v>
      </x:c>
      <x:c r="C18" s="17" t="n">
        <x:f>SUM('Sviluppo mensile'!N18:N29)</x:f>
        <x:v>30000</x:v>
      </x:c>
      <x:c r="D18" s="17" t="n">
        <x:f>SUM('Sviluppo mensile'!N30:N41)</x:f>
        <x:v>36000</x:v>
      </x:c>
      <x:c r="E18" s="17" t="n">
        <x:f>SUM('Sviluppo mensile'!N42:N53)</x:f>
        <x:v>42000</x:v>
      </x:c>
      <x:c r="F18" s="17" t="n">
        <x:f>SUM('Sviluppo mensile'!N54:N65)</x:f>
        <x:v>48000</x:v>
      </x:c>
    </x:row>
    <x:row r="19" ht="25" customHeight="1">
      <x:c r="A19" s="1" t="str">
        <x:v>Operations: costo dipendenti</x:v>
      </x:c>
      <x:c r="B19" s="17" t="n">
        <x:f>SUM('Sviluppo mensile'!O6:O17)</x:f>
        <x:v>0</x:v>
      </x:c>
      <x:c r="C19" s="17" t="n">
        <x:f>SUM('Sviluppo mensile'!O18:O29)</x:f>
        <x:v>18540</x:v>
      </x:c>
      <x:c r="D19" s="17" t="n">
        <x:f>SUM('Sviluppo mensile'!O30:O41)</x:f>
        <x:v>38192</x:v>
      </x:c>
      <x:c r="E19" s="17" t="n">
        <x:f>SUM('Sviluppo mensile'!O42:O53)</x:f>
        <x:v>59007</x:v>
      </x:c>
      <x:c r="F19" s="17" t="n">
        <x:f>SUM('Sviluppo mensile'!O54:O65)</x:f>
        <x:v>81036</x:v>
      </x:c>
    </x:row>
    <x:row r="20" ht="25" customHeight="1">
      <x:c r="A20" s="1" t="str">
        <x:v>Sviluppo e manutenzione</x:v>
      </x:c>
      <x:c r="B20" s="17" t="n">
        <x:f>SUM('Sviluppo mensile'!P6:P17)</x:f>
        <x:v>6000</x:v>
      </x:c>
      <x:c r="C20" s="17" t="n">
        <x:f>SUM('Sviluppo mensile'!P18:P29)</x:f>
        <x:v>9000</x:v>
      </x:c>
      <x:c r="D20" s="17" t="n">
        <x:f>SUM('Sviluppo mensile'!P30:P41)</x:f>
        <x:v>12000</x:v>
      </x:c>
      <x:c r="E20" s="17" t="n">
        <x:f>SUM('Sviluppo mensile'!P42:P53)</x:f>
        <x:v>15000</x:v>
      </x:c>
      <x:c r="F20" s="17" t="n">
        <x:f>SUM('Sviluppo mensile'!P54:P65)</x:f>
        <x:v>18000</x:v>
      </x:c>
    </x:row>
    <x:row r="21" ht="25" customHeight="1">
      <x:c r="A21" s="1" t="str">
        <x:v>Legale, contabilità, tools, RC e altri</x:v>
      </x:c>
      <x:c r="B21" s="17" t="n">
        <x:f>SUM('Sviluppo mensile'!Q6:Q17)</x:f>
        <x:v>13200</x:v>
      </x:c>
      <x:c r="C21" s="17" t="n">
        <x:f>SUM('Sviluppo mensile'!Q18:Q29)</x:f>
        <x:v>14700</x:v>
      </x:c>
      <x:c r="D21" s="17" t="n">
        <x:f>SUM('Sviluppo mensile'!Q30:Q41)</x:f>
        <x:v>18200</x:v>
      </x:c>
      <x:c r="E21" s="17" t="n">
        <x:f>SUM('Sviluppo mensile'!Q42:Q53)</x:f>
        <x:v>22200</x:v>
      </x:c>
      <x:c r="F21" s="17" t="n">
        <x:f>SUM('Sviluppo mensile'!Q54:Q65)</x:f>
        <x:v>26199.999999999996</x:v>
      </x:c>
    </x:row>
    <x:row r="22" ht="25" customHeight="1">
      <x:c r="A22" s="1" t="str">
        <x:v>Costituzione/setup spesati</x:v>
      </x:c>
      <x:c r="B22" s="17" t="n">
        <x:f>SUM('Sviluppo mensile'!R6:R17)</x:f>
        <x:v>3000</x:v>
      </x:c>
      <x:c r="C22" s="17" t="n">
        <x:f>SUM('Sviluppo mensile'!R18:R29)</x:f>
        <x:v>0</x:v>
      </x:c>
      <x:c r="D22" s="17" t="n">
        <x:f>SUM('Sviluppo mensile'!R30:R41)</x:f>
        <x:v>0</x:v>
      </x:c>
      <x:c r="E22" s="17" t="n">
        <x:f>SUM('Sviluppo mensile'!R42:R53)</x:f>
        <x:v>0</x:v>
      </x:c>
      <x:c r="F22" s="17" t="n">
        <x:f>SUM('Sviluppo mensile'!R54:R65)</x:f>
        <x:v>0</x:v>
      </x:c>
    </x:row>
    <x:row r="23" ht="25" customHeight="1">
      <x:c r="A23" s="21" t="str">
        <x:v>EBITDA</x:v>
      </x:c>
      <x:c r="B23" s="22" t="n">
        <x:f>SUM('Sviluppo mensile'!S6:S17)</x:f>
        <x:v>-23806.395389431396</x:v>
      </x:c>
      <x:c r="C23" s="22" t="n">
        <x:f>SUM('Sviluppo mensile'!S18:S29)</x:f>
        <x:v>-63459.28404411957</x:v>
      </x:c>
      <x:c r="D23" s="22" t="n">
        <x:f>SUM('Sviluppo mensile'!S30:S41)</x:f>
        <x:v>-75193.89070572083</x:v>
      </x:c>
      <x:c r="E23" s="22" t="n">
        <x:f>SUM('Sviluppo mensile'!S42:S53)</x:f>
        <x:v>-78451.78498675395</x:v>
      </x:c>
      <x:c r="F23" s="22" t="n">
        <x:f>SUM('Sviluppo mensile'!S54:S65)</x:f>
        <x:v>-76079.81188186069</x:v>
      </x:c>
    </x:row>
    <x:row r="24" ht="25" customHeight="1">
      <x:c r="A24" s="1" t="str">
        <x:v>Ammortamenti hardware</x:v>
      </x:c>
      <x:c r="B24" s="17" t="n">
        <x:f>SUM('Sviluppo mensile'!T6:T17)</x:f>
        <x:v>500.00000000000006</x:v>
      </x:c>
      <x:c r="C24" s="17" t="n">
        <x:f>SUM('Sviluppo mensile'!T18:T29)</x:f>
        <x:v>666.6666666666666</x:v>
      </x:c>
      <x:c r="D24" s="17" t="n">
        <x:f>SUM('Sviluppo mensile'!T30:T41)</x:f>
        <x:v>833.3333333333334</x:v>
      </x:c>
      <x:c r="E24" s="17" t="n">
        <x:f>SUM('Sviluppo mensile'!T42:T53)</x:f>
        <x:v>666.6666666666666</x:v>
      </x:c>
      <x:c r="F24" s="17" t="n">
        <x:f>SUM('Sviluppo mensile'!T54:T65)</x:f>
        <x:v>833.3333333333334</x:v>
      </x:c>
    </x:row>
    <x:row r="25" ht="25" customHeight="1">
      <x:c r="A25" s="1" t="str">
        <x:v>EBIT</x:v>
      </x:c>
      <x:c r="B25" s="17" t="n">
        <x:f>SUM('Sviluppo mensile'!U6:U17)</x:f>
        <x:v>-24306.3953894314</x:v>
      </x:c>
      <x:c r="C25" s="17" t="n">
        <x:f>SUM('Sviluppo mensile'!U18:U29)</x:f>
        <x:v>-64125.950710786245</x:v>
      </x:c>
      <x:c r="D25" s="17" t="n">
        <x:f>SUM('Sviluppo mensile'!U30:U41)</x:f>
        <x:v>-76027.22403905416</x:v>
      </x:c>
      <x:c r="E25" s="17" t="n">
        <x:f>SUM('Sviluppo mensile'!U42:U53)</x:f>
        <x:v>-79118.45165342059</x:v>
      </x:c>
      <x:c r="F25" s="17" t="n">
        <x:f>SUM('Sviluppo mensile'!U54:U65)</x:f>
        <x:v>-76913.14521519402</x:v>
      </x:c>
    </x:row>
    <x:row r="26" ht="25" customHeight="1">
      <x:c r="A26" s="1" t="str">
        <x:v>Imposte prudenziali proxy</x:v>
      </x:c>
      <x:c r="B26" s="17" t="n">
        <x:f>SUM('Sviluppo mensile'!V6:V17)</x:f>
        <x:v>0</x:v>
      </x:c>
      <x:c r="C26" s="17" t="n">
        <x:f>SUM('Sviluppo mensile'!V18:V29)</x:f>
        <x:v>0</x:v>
      </x:c>
      <x:c r="D26" s="17" t="n">
        <x:f>SUM('Sviluppo mensile'!V30:V41)</x:f>
        <x:v>0</x:v>
      </x:c>
      <x:c r="E26" s="17" t="n">
        <x:f>SUM('Sviluppo mensile'!V42:V53)</x:f>
        <x:v>0</x:v>
      </x:c>
      <x:c r="F26" s="17" t="n">
        <x:f>SUM('Sviluppo mensile'!V54:V65)</x:f>
        <x:v>14.874940635476726</x:v>
      </x:c>
    </x:row>
    <x:row r="27" ht="25" customHeight="1">
      <x:c r="A27" s="21" t="str">
        <x:v>UTILE / PERDITA</x:v>
      </x:c>
      <x:c r="B27" s="22" t="n">
        <x:f>SUM('Sviluppo mensile'!W6:W17)</x:f>
        <x:v>-24306.3953894314</x:v>
      </x:c>
      <x:c r="C27" s="22" t="n">
        <x:f>SUM('Sviluppo mensile'!W18:W29)</x:f>
        <x:v>-64125.950710786245</x:v>
      </x:c>
      <x:c r="D27" s="22" t="n">
        <x:f>SUM('Sviluppo mensile'!W30:W41)</x:f>
        <x:v>-76027.22403905416</x:v>
      </x:c>
      <x:c r="E27" s="22" t="n">
        <x:f>SUM('Sviluppo mensile'!W42:W53)</x:f>
        <x:v>-79118.45165342059</x:v>
      </x:c>
      <x:c r="F27" s="22" t="n">
        <x:f>SUM('Sviluppo mensile'!W54:W65)</x:f>
        <x:v>-76928.0201558295</x:v>
      </x:c>
    </x:row>
    <x:row r="28" ht="25" customHeight="1">
      <x:c r="A28" s="1" t="str">
        <x:v>Residuo dopo personale e marketing</x:v>
      </x:c>
      <x:c r="B28" s="17" t="n">
        <x:f>B16-B17</x:f>
        <x:v>-1606.395389431389</x:v>
      </x:c>
      <x:c r="C28" s="17" t="n">
        <x:f>C16-C17</x:f>
        <x:v>-39759.28404411956</x:v>
      </x:c>
      <x:c r="D28" s="17" t="n">
        <x:f>D16-D17</x:f>
        <x:v>-44993.89070572078</x:v>
      </x:c>
      <x:c r="E28" s="17" t="n">
        <x:f>E16-E17</x:f>
        <x:v>-41251.784986754006</x:v>
      </x:c>
      <x:c r="F28" s="17" t="n">
        <x:f>F16-F17</x:f>
        <x:v>-31879.8118818606</x:v>
      </x:c>
    </x:row>
    <x:row r="29" ht="25" customHeight="1">
      <x:c r="A29" s="21" t="str">
        <x:v>FLUSSI DI CASSA</x:v>
      </x:c>
      <x:c r="B29" s="22"/>
      <x:c r="C29" s="22"/>
      <x:c r="D29" s="22"/>
      <x:c r="E29" s="22"/>
      <x:c r="F29" s="22"/>
    </x:row>
    <x:row r="30" ht="25" customHeight="1">
      <x:c r="A30" s="1" t="str">
        <x:v>Utile / perdita</x:v>
      </x:c>
      <x:c r="B30" s="17" t="n">
        <x:f>B27</x:f>
        <x:v>-24306.3953894314</x:v>
      </x:c>
      <x:c r="C30" s="17" t="n">
        <x:f>C27</x:f>
        <x:v>-64125.950710786245</x:v>
      </x:c>
      <x:c r="D30" s="17" t="n">
        <x:f>D27</x:f>
        <x:v>-76027.22403905416</x:v>
      </x:c>
      <x:c r="E30" s="17" t="n">
        <x:f>E27</x:f>
        <x:v>-79118.45165342059</x:v>
      </x:c>
      <x:c r="F30" s="17" t="n">
        <x:f>F27</x:f>
        <x:v>-76928.0201558295</x:v>
      </x:c>
    </x:row>
    <x:row r="31" ht="25" customHeight="1">
      <x:c r="A31" s="1" t="str">
        <x:v>Ammortamenti</x:v>
      </x:c>
      <x:c r="B31" s="17" t="n">
        <x:f>B24</x:f>
        <x:v>500.00000000000006</x:v>
      </x:c>
      <x:c r="C31" s="17" t="n">
        <x:f>C24</x:f>
        <x:v>666.6666666666666</x:v>
      </x:c>
      <x:c r="D31" s="17" t="n">
        <x:f>D24</x:f>
        <x:v>833.3333333333334</x:v>
      </x:c>
      <x:c r="E31" s="17" t="n">
        <x:f>E24</x:f>
        <x:v>666.6666666666666</x:v>
      </x:c>
      <x:c r="F31" s="17" t="n">
        <x:f>F24</x:f>
        <x:v>833.3333333333334</x:v>
      </x:c>
    </x:row>
    <x:row r="32" ht="25" customHeight="1">
      <x:c r="A32" s="1" t="str">
        <x:v>Variazione capitale circolante</x:v>
      </x:c>
      <x:c r="B32" s="17" t="n">
        <x:f>SUM('Sviluppo mensile'!AB6:AB17)</x:f>
        <x:v>4792.689718240642</x:v>
      </x:c>
      <x:c r="C32" s="17" t="n">
        <x:f>SUM('Sviluppo mensile'!AB18:AB29)</x:f>
        <x:v>2974.5956878005636</x:v>
      </x:c>
      <x:c r="D32" s="17" t="n">
        <x:f>SUM('Sviluppo mensile'!AB30:AB41)</x:f>
        <x:v>-736.0911353514057</x:v>
      </x:c>
      <x:c r="E32" s="17" t="n">
        <x:f>SUM('Sviluppo mensile'!AB42:AB53)</x:f>
        <x:v>-4316.501613246155</x:v>
      </x:c>
      <x:c r="F32" s="17" t="n">
        <x:f>SUM('Sviluppo mensile'!AB54:AB65)</x:f>
        <x:v>1378.4675124289938</x:v>
      </x:c>
    </x:row>
    <x:row r="33" ht="25" customHeight="1">
      <x:c r="A33" s="1" t="str">
        <x:v>Cassa operativa</x:v>
      </x:c>
      <x:c r="B33" s="17" t="n">
        <x:f>SUM('Sviluppo mensile'!AC6:AC17)</x:f>
        <x:v>-28599.08510767204</x:v>
      </x:c>
      <x:c r="C33" s="17" t="n">
        <x:f>SUM('Sviluppo mensile'!AC18:AC29)</x:f>
        <x:v>-66433.87973192013</x:v>
      </x:c>
      <x:c r="D33" s="17" t="n">
        <x:f>SUM('Sviluppo mensile'!AC30:AC41)</x:f>
        <x:v>-74457.79957036943</x:v>
      </x:c>
      <x:c r="E33" s="17" t="n">
        <x:f>SUM('Sviluppo mensile'!AC42:AC53)</x:f>
        <x:v>-74135.28337350777</x:v>
      </x:c>
      <x:c r="F33" s="17" t="n">
        <x:f>SUM('Sviluppo mensile'!AC54:AC65)</x:f>
        <x:v>-77473.15433492516</x:v>
      </x:c>
    </x:row>
    <x:row r="34" ht="25" customHeight="1">
      <x:c r="A34" s="1" t="str">
        <x:v>Investimenti hardware</x:v>
      </x:c>
      <x:c r="B34" s="17" t="n">
        <x:f>SUM('Sviluppo mensile'!X6:X17)</x:f>
        <x:v>1500</x:v>
      </x:c>
      <x:c r="C34" s="17" t="n">
        <x:f>SUM('Sviluppo mensile'!X18:X29)</x:f>
        <x:v>500</x:v>
      </x:c>
      <x:c r="D34" s="17" t="n">
        <x:f>SUM('Sviluppo mensile'!X30:X41)</x:f>
        <x:v>500</x:v>
      </x:c>
      <x:c r="E34" s="17" t="n">
        <x:f>SUM('Sviluppo mensile'!X42:X53)</x:f>
        <x:v>1000</x:v>
      </x:c>
      <x:c r="F34" s="17" t="n">
        <x:f>SUM('Sviluppo mensile'!X54:X65)</x:f>
        <x:v>1000</x:v>
      </x:c>
    </x:row>
    <x:row r="35" ht="25" customHeight="1">
      <x:c r="A35" s="1" t="str">
        <x:v>Capitale sociale versato</x:v>
      </x:c>
      <x:c r="B35" s="17" t="n">
        <x:f>SUM('Sviluppo mensile'!AD6:AD17)</x:f>
        <x:v>10000</x:v>
      </x:c>
      <x:c r="C35" s="17" t="n">
        <x:f>SUM('Sviluppo mensile'!AD18:AD29)</x:f>
        <x:v>0</x:v>
      </x:c>
      <x:c r="D35" s="17" t="n">
        <x:f>SUM('Sviluppo mensile'!AD30:AD41)</x:f>
        <x:v>0</x:v>
      </x:c>
      <x:c r="E35" s="17" t="n">
        <x:f>SUM('Sviluppo mensile'!AD42:AD53)</x:f>
        <x:v>0</x:v>
      </x:c>
      <x:c r="F35" s="17" t="n">
        <x:f>SUM('Sviluppo mensile'!AD54:AD65)</x:f>
        <x:v>0</x:v>
      </x:c>
    </x:row>
    <x:row r="36" ht="25" customHeight="1">
      <x:c r="A36" s="1" t="str">
        <x:v>Apporti patrimoniali da reperire</x:v>
      </x:c>
      <x:c r="B36" s="17" t="n">
        <x:f>SUM('Sviluppo mensile'!AE6:AE17)</x:f>
        <x:v>40000</x:v>
      </x:c>
      <x:c r="C36" s="17" t="n">
        <x:f>SUM('Sviluppo mensile'!AE18:AE29)</x:f>
        <x:v>70000</x:v>
      </x:c>
      <x:c r="D36" s="17" t="n">
        <x:f>SUM('Sviluppo mensile'!AE30:AE41)</x:f>
        <x:v>70000</x:v>
      </x:c>
      <x:c r="E36" s="17" t="n">
        <x:f>SUM('Sviluppo mensile'!AE42:AE53)</x:f>
        <x:v>70000</x:v>
      </x:c>
      <x:c r="F36" s="17" t="n">
        <x:f>SUM('Sviluppo mensile'!AE54:AE65)</x:f>
        <x:v>90000</x:v>
      </x:c>
    </x:row>
    <x:row r="37" ht="25" customHeight="1">
      <x:c r="A37" s="1" t="str">
        <x:v>Variazione cassa</x:v>
      </x:c>
      <x:c r="B37" s="17" t="n">
        <x:f>B33-B34+B35+B36</x:f>
        <x:v>19900.91489232796</x:v>
      </x:c>
      <x:c r="C37" s="17" t="n">
        <x:f>C33-C34+C35+C36</x:f>
        <x:v>3066.120268079874</x:v>
      </x:c>
      <x:c r="D37" s="17" t="n">
        <x:f>D33-D34+D35+D36</x:f>
        <x:v>-4957.799570369432</x:v>
      </x:c>
      <x:c r="E37" s="17" t="n">
        <x:f>E33-E34+E35+E36</x:f>
        <x:v>-5135.283373507773</x:v>
      </x:c>
      <x:c r="F37" s="17" t="n">
        <x:f>F33-F34+F35+F36</x:f>
        <x:v>11526.845665074841</x:v>
      </x:c>
    </x:row>
    <x:row r="38" ht="25" customHeight="1">
      <x:c r="A38" s="21" t="str">
        <x:v>CASSA FINALE FINANZIATA</x:v>
      </x:c>
      <x:c r="B38" s="22" t="n">
        <x:f>'Sviluppo mensile'!AF17</x:f>
        <x:v>19900.914892327954</x:v>
      </x:c>
      <x:c r="C38" s="22" t="n">
        <x:f>'Sviluppo mensile'!AF29</x:f>
        <x:v>22967.035160407835</x:v>
      </x:c>
      <x:c r="D38" s="22" t="n">
        <x:f>'Sviluppo mensile'!AF41</x:f>
        <x:v>18009.235590038395</x:v>
      </x:c>
      <x:c r="E38" s="22" t="n">
        <x:f>'Sviluppo mensile'!AF53</x:f>
        <x:v>12873.952216530615</x:v>
      </x:c>
      <x:c r="F38" s="22" t="n">
        <x:f>'Sviluppo mensile'!AF65</x:f>
        <x:v>24400.797881605442</x:v>
      </x:c>
    </x:row>
    <x:row r="39" ht="25" customHeight="1">
      <x:c r="A39" s="1" t="str">
        <x:v>Cassa finale con solo €10k</x:v>
      </x:c>
      <x:c r="B39" s="17" t="n">
        <x:f>'Sviluppo mensile'!AG17</x:f>
        <x:v>-20099.08510767204</x:v>
      </x:c>
      <x:c r="C39" s="17" t="n">
        <x:f>'Sviluppo mensile'!AG29</x:f>
        <x:v>-87032.96483959215</x:v>
      </x:c>
      <x:c r="D39" s="17" t="n">
        <x:f>'Sviluppo mensile'!AG41</x:f>
        <x:v>-161990.76440996156</x:v>
      </x:c>
      <x:c r="E39" s="17" t="n">
        <x:f>'Sviluppo mensile'!AG53</x:f>
        <x:v>-237126.04778346937</x:v>
      </x:c>
      <x:c r="F39" s="17" t="n">
        <x:f>'Sviluppo mensile'!AG65</x:f>
        <x:v>-315599.20211839455</x:v>
      </x:c>
    </x:row>
    <x:row r="40" ht="25" customHeight="1">
      <x:c r="A40" s="1" t="str">
        <x:v>Deficit massimo mensile solo €10k</x:v>
      </x:c>
      <x:c r="B40" s="17" t="n">
        <x:f>MAX(0,-MIN('Sviluppo mensile'!AG6:AG17))</x:f>
        <x:v>20099.08510767204</x:v>
      </x:c>
      <x:c r="C40" s="17" t="n">
        <x:f>MAX(0,-MIN('Sviluppo mensile'!AG6:AG29))</x:f>
        <x:v>87032.96483959215</x:v>
      </x:c>
      <x:c r="D40" s="17" t="n">
        <x:f>MAX(0,-MIN('Sviluppo mensile'!AG6:AG41))</x:f>
        <x:v>161990.76440996156</x:v>
      </x:c>
      <x:c r="E40" s="17" t="n">
        <x:f>MAX(0,-MIN('Sviluppo mensile'!AG6:AG53))</x:f>
        <x:v>237126.04778346937</x:v>
      </x:c>
      <x:c r="F40" s="17" t="n">
        <x:f>MAX(0,-MIN('Sviluppo mensile'!AG6:AG65))</x:f>
        <x:v>315599.20211839455</x:v>
      </x:c>
    </x:row>
    <x:row r="41" ht="25" customHeight="1">
      <x:c r="A41" s="1"/>
      <x:c r="B41" s="17"/>
      <x:c r="C41" s="17"/>
      <x:c r="D41" s="17"/>
      <x:c r="E41" s="17"/>
      <x:c r="F41" s="17"/>
    </x:row>
    <x:row r="42" ht="25" customHeight="1">
      <x:c r="A42" s="21" t="str">
        <x:v>STATO PATRIMONIALE CONDIZIONATO</x:v>
      </x:c>
      <x:c r="B42" s="22"/>
      <x:c r="C42" s="22"/>
      <x:c r="D42" s="22"/>
      <x:c r="E42" s="22"/>
      <x:c r="F42" s="22"/>
    </x:row>
    <x:row r="43" ht="25" customHeight="1">
      <x:c r="A43" s="1" t="str">
        <x:v>Cassa</x:v>
      </x:c>
      <x:c r="B43" s="17" t="n">
        <x:f>B38</x:f>
        <x:v>19900.914892327954</x:v>
      </x:c>
      <x:c r="C43" s="17" t="n">
        <x:f>C38</x:f>
        <x:v>22967.035160407835</x:v>
      </x:c>
      <x:c r="D43" s="17" t="n">
        <x:f>D38</x:f>
        <x:v>18009.235590038395</x:v>
      </x:c>
      <x:c r="E43" s="17" t="n">
        <x:f>E38</x:f>
        <x:v>12873.952216530615</x:v>
      </x:c>
      <x:c r="F43" s="17" t="n">
        <x:f>F38</x:f>
        <x:v>24400.797881605442</x:v>
      </x:c>
    </x:row>
    <x:row r="44" ht="25" customHeight="1">
      <x:c r="A44" s="1" t="str">
        <x:v>Crediti verso PSP</x:v>
      </x:c>
      <x:c r="B44" s="17" t="n">
        <x:f>'Sviluppo mensile'!Y17</x:f>
        <x:v>332.95428817645535</x:v>
      </x:c>
      <x:c r="C44" s="17" t="n">
        <x:f>'Sviluppo mensile'!Y29</x:f>
        <x:v>1056.5797899834947</x:v>
      </x:c>
      <x:c r="D44" s="17" t="n">
        <x:f>'Sviluppo mensile'!Y41</x:f>
        <x:v>2291.0459446232385</x:v>
      </x:c>
      <x:c r="E44" s="17" t="n">
        <x:f>'Sviluppo mensile'!Y53</x:f>
        <x:v>4072.8257048697906</x:v>
      </x:c>
      <x:c r="F44" s="17" t="n">
        <x:f>'Sviluppo mensile'!Y65</x:f>
        <x:v>6278.352467706691</x:v>
      </x:c>
    </x:row>
    <x:row r="45" ht="25" customHeight="1">
      <x:c r="A45" s="1" t="str">
        <x:v>Credito IVA</x:v>
      </x:c>
      <x:c r="B45" s="17" t="n">
        <x:f>'Sviluppo mensile'!Z17</x:f>
        <x:v>4459.735430064186</x:v>
      </x:c>
      <x:c r="C45" s="17" t="n">
        <x:f>'Sviluppo mensile'!Z29</x:f>
        <x:v>6710.70561605771</x:v>
      </x:c>
      <x:c r="D45" s="17" t="n">
        <x:f>'Sviluppo mensile'!Z41</x:f>
        <x:v>4740.14832606656</x:v>
      </x:c>
      <x:c r="E45" s="17" t="n">
        <x:f>'Sviluppo mensile'!Z53</x:f>
        <x:v>0</x:v>
      </x:c>
      <x:c r="F45" s="17" t="n">
        <x:f>'Sviluppo mensile'!Z65</x:f>
        <x:v>0</x:v>
      </x:c>
    </x:row>
    <x:row r="46" ht="25" customHeight="1">
      <x:c r="A46" s="1" t="str">
        <x:v>Hardware netto</x:v>
      </x:c>
      <x:c r="B46" s="17" t="n">
        <x:f>'Sviluppo mensile'!AH17</x:f>
        <x:v>1000</x:v>
      </x:c>
      <x:c r="C46" s="17" t="n">
        <x:f>'Sviluppo mensile'!AH29</x:f>
        <x:v>833.333333333333</x:v>
      </x:c>
      <x:c r="D46" s="17" t="n">
        <x:f>'Sviluppo mensile'!AH41</x:f>
        <x:v>500.0000000000009</x:v>
      </x:c>
      <x:c r="E46" s="17" t="n">
        <x:f>'Sviluppo mensile'!AH53</x:f>
        <x:v>833.333333333333</x:v>
      </x:c>
      <x:c r="F46" s="17" t="n">
        <x:f>'Sviluppo mensile'!AH65</x:f>
        <x:v>1000.0000000000009</x:v>
      </x:c>
    </x:row>
    <x:row r="47" ht="25" customHeight="1">
      <x:c r="A47" s="21" t="str">
        <x:v>TOTALE ATTIVO</x:v>
      </x:c>
      <x:c r="B47" s="22" t="n">
        <x:f>SUM(B43:B46)</x:f>
        <x:v>25693.604610568593</x:v>
      </x:c>
      <x:c r="C47" s="22" t="n">
        <x:f>SUM(C43:C46)</x:f>
        <x:v>31567.65389978237</x:v>
      </x:c>
      <x:c r="D47" s="22" t="n">
        <x:f>SUM(D43:D46)</x:f>
        <x:v>25540.429860728193</x:v>
      </x:c>
      <x:c r="E47" s="22" t="n">
        <x:f>SUM(E43:E46)</x:f>
        <x:v>17780.111254733736</x:v>
      </x:c>
      <x:c r="F47" s="22" t="n">
        <x:f>SUM(F43:F46)</x:f>
        <x:v>31679.150349312134</x:v>
      </x:c>
    </x:row>
    <x:row r="48" ht="25" customHeight="1">
      <x:c r="A48" s="1"/>
      <x:c r="B48" s="17"/>
      <x:c r="C48" s="17"/>
      <x:c r="D48" s="17"/>
      <x:c r="E48" s="17"/>
      <x:c r="F48" s="17"/>
    </x:row>
    <x:row r="49" ht="25" customHeight="1">
      <x:c r="A49" s="1" t="str">
        <x:v>Debito IVA</x:v>
      </x:c>
      <x:c r="B49" s="17" t="n">
        <x:f>'Sviluppo mensile'!AA17</x:f>
        <x:v>0</x:v>
      </x:c>
      <x:c r="C49" s="17" t="n">
        <x:f>'Sviluppo mensile'!AA29</x:f>
        <x:v>0</x:v>
      </x:c>
      <x:c r="D49" s="17" t="n">
        <x:f>'Sviluppo mensile'!AA41</x:f>
        <x:v>0</x:v>
      </x:c>
      <x:c r="E49" s="17" t="n">
        <x:f>'Sviluppo mensile'!AA53</x:f>
        <x:v>1358.1330474261472</x:v>
      </x:c>
      <x:c r="F49" s="17" t="n">
        <x:f>'Sviluppo mensile'!AA65</x:f>
        <x:v>2185.192297834054</x:v>
      </x:c>
    </x:row>
    <x:row r="50" ht="25" customHeight="1">
      <x:c r="A50" s="1" t="str">
        <x:v>Debiti finanziari (nessuno ipotizzato)</x:v>
      </x:c>
      <x:c r="B50" s="17" t="n">
        <x:f>0</x:f>
        <x:v>0</x:v>
      </x:c>
      <x:c r="C50" s="17" t="n">
        <x:f>0</x:f>
        <x:v>0</x:v>
      </x:c>
      <x:c r="D50" s="17" t="n">
        <x:f>0</x:f>
        <x:v>0</x:v>
      </x:c>
      <x:c r="E50" s="17" t="n">
        <x:f>0</x:f>
        <x:v>0</x:v>
      </x:c>
      <x:c r="F50" s="17" t="n">
        <x:f>0</x:f>
        <x:v>0</x:v>
      </x:c>
    </x:row>
    <x:row r="51" ht="25" customHeight="1">
      <x:c r="A51" s="1" t="str">
        <x:v>Capitale sociale</x:v>
      </x:c>
      <x:c r="B51" s="17" t="n">
        <x:f>SUM($B35:B35)</x:f>
        <x:v>10000</x:v>
      </x:c>
      <x:c r="C51" s="17" t="n">
        <x:f>SUM($B35:C35)</x:f>
        <x:v>10000</x:v>
      </x:c>
      <x:c r="D51" s="17" t="n">
        <x:f>SUM($B35:D35)</x:f>
        <x:v>10000</x:v>
      </x:c>
      <x:c r="E51" s="17" t="n">
        <x:f>SUM($B35:E35)</x:f>
        <x:v>10000</x:v>
      </x:c>
      <x:c r="F51" s="17" t="n">
        <x:f>SUM($B35:F35)</x:f>
        <x:v>10000</x:v>
      </x:c>
    </x:row>
    <x:row r="52" ht="25" customHeight="1">
      <x:c r="A52" s="1" t="str">
        <x:v>Apporti a riserva capitale</x:v>
      </x:c>
      <x:c r="B52" s="17" t="n">
        <x:f>SUM($B36:B36)</x:f>
        <x:v>40000</x:v>
      </x:c>
      <x:c r="C52" s="17" t="n">
        <x:f>SUM($B36:C36)</x:f>
        <x:v>110000</x:v>
      </x:c>
      <x:c r="D52" s="17" t="n">
        <x:f>SUM($B36:D36)</x:f>
        <x:v>180000</x:v>
      </x:c>
      <x:c r="E52" s="17" t="n">
        <x:f>SUM($B36:E36)</x:f>
        <x:v>250000</x:v>
      </x:c>
      <x:c r="F52" s="17" t="n">
        <x:f>SUM($B36:F36)</x:f>
        <x:v>340000</x:v>
      </x:c>
    </x:row>
    <x:row r="53" ht="25" customHeight="1">
      <x:c r="A53" s="1" t="str">
        <x:v>Utili/perdite portati + esercizio</x:v>
      </x:c>
      <x:c r="B53" s="17" t="n">
        <x:f>'Sviluppo mensile'!AI17</x:f>
        <x:v>-24306.3953894314</x:v>
      </x:c>
      <x:c r="C53" s="17" t="n">
        <x:f>'Sviluppo mensile'!AI29</x:f>
        <x:v>-88432.34610021763</x:v>
      </x:c>
      <x:c r="D53" s="17" t="n">
        <x:f>'Sviluppo mensile'!AI41</x:f>
        <x:v>-164459.57013927182</x:v>
      </x:c>
      <x:c r="E53" s="17" t="n">
        <x:f>'Sviluppo mensile'!AI53</x:f>
        <x:v>-243578.02179269242</x:v>
      </x:c>
      <x:c r="F53" s="17" t="n">
        <x:f>'Sviluppo mensile'!AI65</x:f>
        <x:v>-320506.041948522</x:v>
      </x:c>
    </x:row>
    <x:row r="54" ht="25" customHeight="1">
      <x:c r="A54" s="21" t="str">
        <x:v>PATRIMONIO NETTO</x:v>
      </x:c>
      <x:c r="B54" s="22" t="n">
        <x:f>SUM(B51:B53)</x:f>
        <x:v>25693.6046105686</x:v>
      </x:c>
      <x:c r="C54" s="22" t="n">
        <x:f>SUM(C51:C53)</x:f>
        <x:v>31567.653899782366</x:v>
      </x:c>
      <x:c r="D54" s="22" t="n">
        <x:f>SUM(D51:D53)</x:f>
        <x:v>25540.42986072818</x:v>
      </x:c>
      <x:c r="E54" s="22" t="n">
        <x:f>SUM(E51:E53)</x:f>
        <x:v>16421.978207307577</x:v>
      </x:c>
      <x:c r="F54" s="22" t="n">
        <x:f>SUM(F51:F53)</x:f>
        <x:v>29493.958051478025</x:v>
      </x:c>
    </x:row>
    <x:row r="55" ht="25" customHeight="1">
      <x:c r="A55" s="21" t="str">
        <x:v>TOTALE PASSIVO E PATRIMONIO</x:v>
      </x:c>
      <x:c r="B55" s="22" t="n">
        <x:f>B49+B50+B54</x:f>
        <x:v>25693.6046105686</x:v>
      </x:c>
      <x:c r="C55" s="22" t="n">
        <x:f>C49+C50+C54</x:f>
        <x:v>31567.653899782366</x:v>
      </x:c>
      <x:c r="D55" s="22" t="n">
        <x:f>D49+D50+D54</x:f>
        <x:v>25540.42986072818</x:v>
      </x:c>
      <x:c r="E55" s="22" t="n">
        <x:f>E49+E50+E54</x:f>
        <x:v>17780.111254733725</x:v>
      </x:c>
      <x:c r="F55" s="22" t="n">
        <x:f>F49+F50+F54</x:f>
        <x:v>31679.15034931208</x:v>
      </x:c>
    </x:row>
    <x:row r="56" ht="25" customHeight="1">
      <x:c r="A56" s="1" t="str">
        <x:v>CHECK ATTIVO − PASSIVO − PN</x:v>
      </x:c>
      <x:c r="B56" s="17" t="n">
        <x:f>ROUND(B47-B55,2)</x:f>
        <x:v>0</x:v>
      </x:c>
      <x:c r="C56" s="17" t="n">
        <x:f>ROUND(C47-C55,2)</x:f>
        <x:v>0</x:v>
      </x:c>
      <x:c r="D56" s="17" t="n">
        <x:f>ROUND(D47-D55,2)</x:f>
        <x:v>0</x:v>
      </x:c>
      <x:c r="E56" s="17" t="n">
        <x:f>ROUND(E47-E55,2)</x:f>
        <x:v>0</x:v>
      </x:c>
      <x:c r="F56" s="17" t="n">
        <x:f>ROUND(F47-F55,2)</x:f>
        <x:v>0</x:v>
      </x:c>
    </x:row>
    <x:row r="57" ht="25" customHeight="1">
      <x:c r="A57" s="1"/>
      <x:c r="B57" s="17"/>
      <x:c r="C57" s="17"/>
      <x:c r="D57" s="17"/>
      <x:c r="E57" s="17"/>
      <x:c r="F57" s="17"/>
    </x:row>
    <x:row r="58" ht="25" customHeight="1">
      <x:c r="A58" s="1" t="str">
        <x:v>Minimo cassa mensile finanziata</x:v>
      </x:c>
      <x:c r="B58" s="17" t="n">
        <x:f>MIN('Sviluppo mensile'!AF6:AF17)</x:f>
        <x:v>19900.914892327954</x:v>
      </x:c>
      <x:c r="C58" s="17" t="n">
        <x:f>MIN('Sviluppo mensile'!AF18:AF29)</x:f>
        <x:v>22967.035160407835</x:v>
      </x:c>
      <x:c r="D58" s="17" t="n">
        <x:f>MIN('Sviluppo mensile'!AF30:AF41)</x:f>
        <x:v>18009.235590038395</x:v>
      </x:c>
      <x:c r="E58" s="17" t="n">
        <x:f>MIN('Sviluppo mensile'!AF42:AF53)</x:f>
        <x:v>12873.952216530615</x:v>
      </x:c>
      <x:c r="F58" s="17" t="n">
        <x:f>MIN('Sviluppo mensile'!AF54:AF65)</x:f>
        <x:v>24400.797881605442</x:v>
      </x:c>
    </x:row>
    <x:row r="59" ht="25" customHeight="1">
      <x:c r="A59" s="1" t="str">
        <x:v>Massimo deficit ore/mese</x:v>
      </x:c>
      <x:c r="B59" s="17" t="n">
        <x:f>MAX('Sviluppo mensile'!AN6:AN17)</x:f>
        <x:v>0</x:v>
      </x:c>
      <x:c r="C59" s="17" t="n">
        <x:f>MAX('Sviluppo mensile'!AN18:AN29)</x:f>
        <x:v>0</x:v>
      </x:c>
      <x:c r="D59" s="17" t="n">
        <x:f>MAX('Sviluppo mensile'!AN30:AN41)</x:f>
        <x:v>0</x:v>
      </x:c>
      <x:c r="E59" s="17" t="n">
        <x:f>MAX('Sviluppo mensile'!AN42:AN53)</x:f>
        <x:v>0</x:v>
      </x:c>
      <x:c r="F59" s="17" t="n">
        <x:f>MAX('Sviluppo mensile'!AN54:AN65)</x:f>
        <x:v>0</x:v>
      </x:c>
    </x:row>
    <x:row r="60" ht="25" customHeight="1">
      <x:c r="A60" s="1" t="str">
        <x:v>CAC cash (marketing / nuovi)</x:v>
      </x:c>
      <x:c r="B60" s="24" t="n">
        <x:f>IF(B6=0,0,B17/B6)</x:f>
        <x:v>140</x:v>
      </x:c>
      <x:c r="C60" s="24" t="n">
        <x:f>IF(C6=0,0,C17/C6)</x:f>
        <x:v>136.17021276595744</x:v>
      </x:c>
      <x:c r="D60" s="24" t="n">
        <x:f>IF(D6=0,0,D17/D6)</x:f>
        <x:v>132.5581395348837</x:v>
      </x:c>
      <x:c r="E60" s="24" t="n">
        <x:f>IF(E6=0,0,E17/E6)</x:f>
        <x:v>130.50000000000003</x:v>
      </x:c>
      <x:c r="F60" s="24" t="n">
        <x:f>IF(F6=0,0,F17/F6)</x:f>
        <x:v>130</x:v>
      </x:c>
    </x:row>
    <x:row r="61" ht="25" customHeight="1">
      <x:c r="A61" s="1" t="str">
        <x:v>Margine diretto / ricavi</x:v>
      </x:c>
      <x:c r="B61" s="23" t="n">
        <x:f>IF(B10=0,0,B15/B10)</x:f>
        <x:v>0.2560369616183085</x:v>
      </x:c>
      <x:c r="C61" s="23" t="n">
        <x:f>IF(C10=0,0,C15/C10)</x:f>
        <x:v>0.25988914637259414</x:v>
      </x:c>
      <x:c r="D61" s="23" t="n">
        <x:f>IF(D10=0,0,D15/D10)</x:f>
        <x:v>0.24752463345637687</x:v>
      </x:c>
      <x:c r="E61" s="23" t="n">
        <x:f>IF(E10=0,0,E15/E10)</x:f>
        <x:v>0.23170504095246458</x:v>
      </x:c>
      <x:c r="F61" s="23" t="n">
        <x:f>IF(F10=0,0,F15/F10)</x:f>
        <x:v>0.21422446257789865</x:v>
      </x:c>
    </x:row>
    <x:row r="62" ht="25" customHeight="1">
      <x:c r="A62" s="1" t="str">
        <x:v>Ricavi per cliente medio annuo</x:v>
      </x:c>
      <x:c r="B62" s="17" t="n">
        <x:f>IF(B8=0,0,B10/B8)</x:f>
        <x:v>948.0000000000002</x:v>
      </x:c>
      <x:c r="C62" s="17" t="n">
        <x:f>IF(C8=0,0,C10/C8)</x:f>
        <x:v>948.0000000000001</x:v>
      </x:c>
      <x:c r="D62" s="17" t="n">
        <x:f>IF(D8=0,0,D10/D8)</x:f>
        <x:v>948.0000000000001</x:v>
      </x:c>
      <x:c r="E62" s="17" t="n">
        <x:f>IF(E8=0,0,E10/E8)</x:f>
        <x:v>947.9999999999998</x:v>
      </x:c>
      <x:c r="F62" s="17" t="n">
        <x:f>IF(F8=0,0,F10/F8)</x:f>
        <x:v>948</x:v>
      </x:c>
    </x:row>
    <x:row r="63" ht="25" customHeight="1">
      <x:c r="A63" s="1" t="str">
        <x:v>Ricavi netti proxy agenzia (non CE)</x:v>
      </x:c>
      <x:c r="B63" s="17" t="n">
        <x:f>B10-B11</x:f>
        <x:v>9740.214230326368</x:v>
      </x:c>
      <x:c r="C63" s="17" t="n">
        <x:f>C10-C11</x:f>
        <x:v>37477.98928434547</x:v>
      </x:c>
      <x:c r="D63" s="17" t="n">
        <x:f>D10-D11</x:f>
        <x:v>84133.34402643205</x:v>
      </x:c>
      <x:c r="E63" s="17" t="n">
        <x:f>E10-E11</x:f>
        <x:v>148990.6581727494</x:v>
      </x:c>
      <x:c r="F63" s="17" t="n">
        <x:f>F10-F11</x:f>
        <x:v>224674.5854814347</x:v>
      </x:c>
    </x:row>
    <x:row r="64" ht="25" customHeight="1">
      <x:c r="A64" s="1" t="str">
        <x:v>CHECK: minimo patrimonio netto mensile</x:v>
      </x:c>
      <x:c r="B64" s="17" t="n">
        <x:f>MIN('Sviluppo mensile'!AI6:AI17)+SUM($B35:B35)+SUM($B36:B36)</x:f>
        <x:v>25693.6046105686</x:v>
      </x:c>
      <x:c r="C64" s="17" t="n">
        <x:f>MIN('Sviluppo mensile'!AI18:AI29)+SUM($B35:C35)+SUM($B36:C36)</x:f>
        <x:v>31567.653899782366</x:v>
      </x:c>
      <x:c r="D64" s="17" t="n">
        <x:f>MIN('Sviluppo mensile'!AI30:AI41)+SUM($B35:D35)+SUM($B36:D36)</x:f>
        <x:v>25540.42986072818</x:v>
      </x:c>
      <x:c r="E64" s="17" t="n">
        <x:f>MIN('Sviluppo mensile'!AI42:AI53)+SUM($B35:E35)+SUM($B36:E36)</x:f>
        <x:v>16421.978207307577</x:v>
      </x:c>
      <x:c r="F64" s="17" t="n">
        <x:f>MIN('Sviluppo mensile'!AI54:AI65)+SUM($B35:F35)+SUM($B36:F36)</x:f>
        <x:v>29493.958051478025</x:v>
      </x:c>
    </x:row>
    <x:row r="65" ht="25" customHeight="1">
      <x:c r="A65" s="1"/>
      <x:c r="B65" s="1"/>
      <x:c r="C65" s="1"/>
      <x:c r="D65" s="1"/>
      <x:c r="E65" s="1"/>
      <x:c r="F65" s="1"/>
    </x:row>
    <x:row r="66" ht="25" customHeight="1">
      <x:c r="A66" s="1" t="str">
        <x:v>Imposte: proxy di accantonamento pagato mensilmente; calendario F24 e acconti da dettagliare con consulente.</x:v>
      </x:c>
      <x:c r="B66" s="1"/>
      <x:c r="C66" s="1"/>
      <x:c r="D66" s="1"/>
      <x:c r="E66" s="1"/>
      <x:c r="F66" s="1"/>
    </x:row>
    <x:row r="67" ht="25" customHeight="1">
      <x:c r="A67" s="1" t="str">
        <x:v>Nessuna capitalizzazione CAC/software, dividendi, anticipi annuali, contributi pubblici o debito automatico.</x:v>
      </x:c>
      <x:c r="B67" s="1"/>
      <x:c r="C67" s="1"/>
      <x:c r="D67" s="1"/>
      <x:c r="E67" s="1"/>
      <x:c r="F6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2" hidden="0" customWidth="1"/>
    <x:col min="8" max="8" width="65" hidden="0" customWidth="1"/>
  </x:cols>
  <x:sheetData>
    <x:row r="1" ht="25" customHeight="1">
      <x:c r="A1" s="2" t="str">
        <x:v>Adrexa · ipotesi modificabili · EUR, IVA esclusa salvo indicazione</x:v>
      </x:c>
      <x:c r="B1" s="1"/>
      <x:c r="C1" s="1"/>
      <x:c r="D1" s="1"/>
      <x:c r="E1" s="1"/>
      <x:c r="F1" s="1"/>
      <x:c r="G1" s="1"/>
      <x:c r="H1" s="1"/>
    </x:row>
    <x:row r="2" ht="25" customHeight="1">
      <x:c r="A2" s="1"/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H = ipotesi, non preventivo. U = istruzione utente. F = fonte. Modificare celle blu.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"/>
      <x:c r="C4" s="1"/>
      <x:c r="D4" s="1"/>
      <x:c r="E4" s="1"/>
      <x:c r="F4" s="1"/>
      <x:c r="G4" s="1"/>
      <x:c r="H4" s="1"/>
    </x:row>
    <x:row r="5" ht="36" customHeight="1">
      <x:c r="A5" s="5" t="str">
        <x:v>Driver</x:v>
      </x:c>
      <x:c r="B5" s="5" t="n">
        <x:v>2027</x:v>
      </x:c>
      <x:c r="C5" s="5" t="n">
        <x:v>2028</x:v>
      </x:c>
      <x:c r="D5" s="5" t="n">
        <x:v>2029</x:v>
      </x:c>
      <x:c r="E5" s="5" t="n">
        <x:v>2030</x:v>
      </x:c>
      <x:c r="F5" s="5" t="n">
        <x:v>2031</x:v>
      </x:c>
      <x:c r="G5" s="5" t="str">
        <x:v>Unità</x:v>
      </x:c>
      <x:c r="H5" s="5" t="str">
        <x:v>Evidenza / limite</x:v>
      </x:c>
    </x:row>
    <x:row r="6" ht="43" customHeight="1">
      <x:c r="A6" s="12" t="str">
        <x:v>Prezzo netto mensile</x:v>
      </x:c>
      <x:c r="B6" s="13" t="n">
        <x:v>79</x:v>
      </x:c>
      <x:c r="C6" s="13" t="n">
        <x:v>79</x:v>
      </x:c>
      <x:c r="D6" s="13" t="n">
        <x:v>79</x:v>
      </x:c>
      <x:c r="E6" s="13" t="n">
        <x:v>79</x:v>
      </x:c>
      <x:c r="F6" s="13" t="n">
        <x:v>79</x:v>
      </x:c>
      <x:c r="G6" s="12" t="str">
        <x:v>EUR</x:v>
      </x:c>
      <x:c r="H6" s="12" t="str">
        <x:v>H; nessun aumento automatico</x:v>
      </x:c>
    </x:row>
    <x:row r="7" ht="43" customHeight="1">
      <x:c r="A7" s="12" t="str">
        <x:v>Partner netto mensile</x:v>
      </x:c>
      <x:c r="B7" s="13" t="n">
        <x:v>50</x:v>
      </x:c>
      <x:c r="C7" s="13" t="n">
        <x:v>51.5</x:v>
      </x:c>
      <x:c r="D7" s="13" t="n">
        <x:v>53.05</x:v>
      </x:c>
      <x:c r="E7" s="13" t="n">
        <x:v>54.64</x:v>
      </x:c>
      <x:c r="F7" s="13" t="n">
        <x:v>56.28</x:v>
      </x:c>
      <x:c r="G7" s="12" t="str">
        <x:v>EUR</x:v>
      </x:c>
      <x:c r="H7" s="12" t="str">
        <x:v>H; include posta fisica entro fair use; +3% circa/anno</x:v>
      </x:c>
    </x:row>
    <x:row r="8" ht="43" customHeight="1">
      <x:c r="A8" s="12" t="str">
        <x:v>Churn mensile</x:v>
      </x:c>
      <x:c r="B8" s="14" t="n">
        <x:v>0.02</x:v>
      </x:c>
      <x:c r="C8" s="14" t="n">
        <x:v>0.02</x:v>
      </x:c>
      <x:c r="D8" s="14" t="n">
        <x:v>0.02</x:v>
      </x:c>
      <x:c r="E8" s="14" t="n">
        <x:v>0.02</x:v>
      </x:c>
      <x:c r="F8" s="14" t="n">
        <x:v>0.02</x:v>
      </x:c>
      <x:c r="G8" s="12" t="str">
        <x:v>%</x:v>
      </x:c>
      <x:c r="H8" s="12" t="str">
        <x:v>H; 21.5% circa annuo; perdita sulla base iniziale</x:v>
      </x:c>
    </x:row>
    <x:row r="9" ht="43" customHeight="1">
      <x:c r="A9" s="12" t="str">
        <x:v>Spesa search</x:v>
      </x:c>
      <x:c r="B9" s="15" t="n">
        <x:v>3600</x:v>
      </x:c>
      <x:c r="C9" s="15" t="n">
        <x:v>9000</x:v>
      </x:c>
      <x:c r="D9" s="15" t="n">
        <x:v>18000</x:v>
      </x:c>
      <x:c r="E9" s="15" t="n">
        <x:v>30000</x:v>
      </x:c>
      <x:c r="F9" s="15" t="n">
        <x:v>42000</x:v>
      </x:c>
      <x:c r="G9" s="12" t="str">
        <x:v>EUR/anno</x:v>
      </x:c>
      <x:c r="H9" s="12" t="str">
        <x:v>H; acquisto media soltanto</x:v>
      </x:c>
    </x:row>
    <x:row r="10" ht="43" customHeight="1">
      <x:c r="A10" s="12" t="str">
        <x:v>CPC search</x:v>
      </x:c>
      <x:c r="B10" s="13" t="n">
        <x:v>3</x:v>
      </x:c>
      <x:c r="C10" s="13" t="n">
        <x:v>3</x:v>
      </x:c>
      <x:c r="D10" s="13" t="n">
        <x:v>3</x:v>
      </x:c>
      <x:c r="E10" s="13" t="n">
        <x:v>3</x:v>
      </x:c>
      <x:c r="F10" s="13" t="n">
        <x:v>3</x:v>
      </x:c>
      <x:c r="G10" s="12" t="str">
        <x:v>EUR/click</x:v>
      </x:c>
      <x:c r="H10" s="12" t="str">
        <x:v>H; da misurare in campagne italiane</x:v>
      </x:c>
    </x:row>
    <x:row r="11" ht="43" customHeight="1">
      <x:c r="A11" s="12" t="str">
        <x:v>Conversione click → attivato</x:v>
      </x:c>
      <x:c r="B11" s="14" t="n">
        <x:v>0.015</x:v>
      </x:c>
      <x:c r="C11" s="14" t="n">
        <x:v>0.015</x:v>
      </x:c>
      <x:c r="D11" s="14" t="n">
        <x:v>0.015</x:v>
      </x:c>
      <x:c r="E11" s="14" t="n">
        <x:v>0.015</x:v>
      </x:c>
      <x:c r="F11" s="14" t="n">
        <x:v>0.015</x:v>
      </x:c>
      <x:c r="G11" s="12" t="str">
        <x:v>%</x:v>
      </x:c>
      <x:c r="H11" s="12" t="str">
        <x:v>H; include fallimenti onboarding</x:v>
      </x:c>
    </x:row>
    <x:row r="12" ht="43" customHeight="1">
      <x:c r="A12" s="12" t="str">
        <x:v>Contenuti SEO</x:v>
      </x:c>
      <x:c r="B12" s="15" t="n">
        <x:v>2400</x:v>
      </x:c>
      <x:c r="C12" s="15" t="n">
        <x:v>6000</x:v>
      </x:c>
      <x:c r="D12" s="15" t="n">
        <x:v>9000</x:v>
      </x:c>
      <x:c r="E12" s="15" t="n">
        <x:v>12000</x:v>
      </x:c>
      <x:c r="F12" s="15" t="n">
        <x:v>15000</x:v>
      </x:c>
      <x:c r="G12" s="12" t="str">
        <x:v>EUR/anno</x:v>
      </x:c>
      <x:c r="H12" s="12" t="str">
        <x:v>H; produzione e distribuzione</x:v>
      </x:c>
    </x:row>
    <x:row r="13" ht="43" customHeight="1">
      <x:c r="A13" s="12" t="str">
        <x:v>Nuovi clienti SEO</x:v>
      </x:c>
      <x:c r="B13" s="15" t="n">
        <x:v>6</x:v>
      </x:c>
      <x:c r="C13" s="15" t="n">
        <x:v>30</x:v>
      </x:c>
      <x:c r="D13" s="15" t="n">
        <x:v>60</x:v>
      </x:c>
      <x:c r="E13" s="15" t="n">
        <x:v>100</x:v>
      </x:c>
      <x:c r="F13" s="15" t="n">
        <x:v>150</x:v>
      </x:c>
      <x:c r="G13" s="12" t="str">
        <x:v>clienti/anno</x:v>
      </x:c>
      <x:c r="H13" s="12" t="str">
        <x:v>H; ritardo iniziale incluso; non volume rilevato</x:v>
      </x:c>
    </x:row>
    <x:row r="14" ht="43" customHeight="1">
      <x:c r="A14" s="12" t="str">
        <x:v>Partnership non professionali</x:v>
      </x:c>
      <x:c r="B14" s="15" t="n">
        <x:v>1200</x:v>
      </x:c>
      <x:c r="C14" s="15" t="n">
        <x:v>2400</x:v>
      </x:c>
      <x:c r="D14" s="15" t="n">
        <x:v>4800</x:v>
      </x:c>
      <x:c r="E14" s="15" t="n">
        <x:v>7200</x:v>
      </x:c>
      <x:c r="F14" s="15" t="n">
        <x:v>9600</x:v>
      </x:c>
      <x:c r="G14" s="12" t="str">
        <x:v>EUR/anno</x:v>
      </x:c>
      <x:c r="H14" s="12" t="str">
        <x:v>H; materiali, webinar, visite, nessuna commissione a commercialisti</x:v>
      </x:c>
    </x:row>
    <x:row r="15" ht="43" customHeight="1">
      <x:c r="A15" s="12" t="str">
        <x:v>Nuovi clienti partnership</x:v>
      </x:c>
      <x:c r="B15" s="15" t="n">
        <x:v>12</x:v>
      </x:c>
      <x:c r="C15" s="15" t="n">
        <x:v>30</x:v>
      </x:c>
      <x:c r="D15" s="15" t="n">
        <x:v>60</x:v>
      </x:c>
      <x:c r="E15" s="15" t="n">
        <x:v>90</x:v>
      </x:c>
      <x:c r="F15" s="15" t="n">
        <x:v>120</x:v>
      </x:c>
      <x:c r="G15" s="12" t="str">
        <x:v>clienti/anno</x:v>
      </x:c>
      <x:c r="H15" s="12" t="str">
        <x:v>H; da accordi non esclusivi con operatori/incubatori</x:v>
      </x:c>
    </x:row>
    <x:row r="16" ht="43" customHeight="1">
      <x:c r="A16" s="12" t="str">
        <x:v>Vendita diretta: spese vive</x:v>
      </x:c>
      <x:c r="B16" s="15" t="n">
        <x:v>1200</x:v>
      </x:c>
      <x:c r="C16" s="15" t="n">
        <x:v>1800</x:v>
      </x:c>
      <x:c r="D16" s="15" t="n">
        <x:v>2400</x:v>
      </x:c>
      <x:c r="E16" s="15" t="n">
        <x:v>3000</x:v>
      </x:c>
      <x:c r="F16" s="15" t="n">
        <x:v>3600</x:v>
      </x:c>
      <x:c r="G16" s="12" t="str">
        <x:v>EUR/anno</x:v>
      </x:c>
      <x:c r="H16" s="12" t="str">
        <x:v>H; tempo founder incluso nei compensi, non nel CAC cash</x:v>
      </x:c>
    </x:row>
    <x:row r="17" ht="43" customHeight="1">
      <x:c r="A17" s="12" t="str">
        <x:v>Nuovi clienti diretti</x:v>
      </x:c>
      <x:c r="B17" s="15" t="n">
        <x:v>24</x:v>
      </x:c>
      <x:c r="C17" s="15" t="n">
        <x:v>36</x:v>
      </x:c>
      <x:c r="D17" s="15" t="n">
        <x:v>48</x:v>
      </x:c>
      <x:c r="E17" s="15" t="n">
        <x:v>60</x:v>
      </x:c>
      <x:c r="F17" s="15" t="n">
        <x:v>60</x:v>
      </x:c>
      <x:c r="G17" s="12" t="str">
        <x:v>clienti/anno</x:v>
      </x:c>
      <x:c r="H17" s="12" t="str">
        <x:v>H; limite operativo founder</x:v>
      </x:c>
    </x:row>
    <x:row r="18" ht="43" customHeight="1">
      <x:c r="A18" s="12" t="str">
        <x:v>KYC/KYB per attivato</x:v>
      </x:c>
      <x:c r="B18" s="13" t="n">
        <x:v>24</x:v>
      </x:c>
      <x:c r="C18" s="13" t="n">
        <x:v>24</x:v>
      </x:c>
      <x:c r="D18" s="13" t="n">
        <x:v>24</x:v>
      </x:c>
      <x:c r="E18" s="13" t="n">
        <x:v>24</x:v>
      </x:c>
      <x:c r="F18" s="13" t="n">
        <x:v>24</x:v>
      </x:c>
      <x:c r="G18" s="12" t="str">
        <x:v>EUR</x:v>
      </x:c>
      <x:c r="H18" s="12" t="str">
        <x:v>H; controlli, visure, quota tentativi falliti; revisione umana nei ruoli</x:v>
      </x:c>
    </x:row>
    <x:row r="19" ht="43" customHeight="1">
      <x:c r="A19" s="12" t="str">
        <x:v>Tecnologia/controlli variabili</x:v>
      </x:c>
      <x:c r="B19" s="13" t="n">
        <x:v>2</x:v>
      </x:c>
      <x:c r="C19" s="13" t="n">
        <x:v>2</x:v>
      </x:c>
      <x:c r="D19" s="13" t="n">
        <x:v>2</x:v>
      </x:c>
      <x:c r="E19" s="13" t="n">
        <x:v>2</x:v>
      </x:c>
      <x:c r="F19" s="13" t="n">
        <x:v>2</x:v>
      </x:c>
      <x:c r="G19" s="12" t="str">
        <x:v>EUR/cliente/mese</x:v>
      </x:c>
      <x:c r="H19" s="12" t="str">
        <x:v>H; OCR, notifiche, verifiche periodiche; no supporto umano duplicato</x:v>
      </x:c>
    </x:row>
    <x:row r="20" ht="43" customHeight="1">
      <x:c r="A20" s="12" t="str">
        <x:v>Rimborsi/perdite attese</x:v>
      </x:c>
      <x:c r="B20" s="14" t="n">
        <x:v>0.01</x:v>
      </x:c>
      <x:c r="C20" s="14" t="n">
        <x:v>0.01</x:v>
      </x:c>
      <x:c r="D20" s="14" t="n">
        <x:v>0.01</x:v>
      </x:c>
      <x:c r="E20" s="14" t="n">
        <x:v>0.01</x:v>
      </x:c>
      <x:c r="F20" s="14" t="n">
        <x:v>0.01</x:v>
      </x:c>
      <x:c r="G20" s="12" t="str">
        <x:v>% ricavi</x:v>
      </x:c>
      <x:c r="H20" s="12" t="str">
        <x:v>H; esborso prudenziale nello stesso mese</x:v>
      </x:c>
    </x:row>
    <x:row r="21" ht="43" customHeight="1">
      <x:c r="A21" s="12" t="str">
        <x:v>Compensi founder costo società</x:v>
      </x:c>
      <x:c r="B21" s="15" t="n">
        <x:v>0</x:v>
      </x:c>
      <x:c r="C21" s="15" t="n">
        <x:v>30000</x:v>
      </x:c>
      <x:c r="D21" s="15" t="n">
        <x:v>36000</x:v>
      </x:c>
      <x:c r="E21" s="15" t="n">
        <x:v>42000</x:v>
      </x:c>
      <x:c r="F21" s="15" t="n">
        <x:v>48000</x:v>
      </x:c>
      <x:c r="G21" s="12" t="str">
        <x:v>EUR/anno totale</x:v>
      </x:c>
      <x:c r="H21" s="12" t="str">
        <x:v>U anno1 zero; H anni2–5 incl. oneri datore; totale, non per founder</x:v>
      </x:c>
    </x:row>
    <x:row r="22" ht="43" customHeight="1">
      <x:c r="A22" s="12" t="str">
        <x:v>Operations dipendenti FTE</x:v>
      </x:c>
      <x:c r="B22" s="16" t="n">
        <x:v>0</x:v>
      </x:c>
      <x:c r="C22" s="16" t="n">
        <x:v>0.5</x:v>
      </x:c>
      <x:c r="D22" s="16" t="n">
        <x:v>1</x:v>
      </x:c>
      <x:c r="E22" s="16" t="n">
        <x:v>1.5</x:v>
      </x:c>
      <x:c r="F22" s="16" t="n">
        <x:v>2</x:v>
      </x:c>
      <x:c r="G22" s="12" t="str">
        <x:v>FTE medi</x:v>
      </x:c>
      <x:c r="H22" s="12" t="str">
        <x:v>H; contratti subordinati part-time / full-time</x:v>
      </x:c>
    </x:row>
    <x:row r="23" ht="43" customHeight="1">
      <x:c r="A23" s="12" t="str">
        <x:v>Costo annuo operations per FTE</x:v>
      </x:c>
      <x:c r="B23" s="15" t="n">
        <x:v>36000</x:v>
      </x:c>
      <x:c r="C23" s="15" t="n">
        <x:v>37080</x:v>
      </x:c>
      <x:c r="D23" s="15" t="n">
        <x:v>38192</x:v>
      </x:c>
      <x:c r="E23" s="15" t="n">
        <x:v>39338</x:v>
      </x:c>
      <x:c r="F23" s="15" t="n">
        <x:v>40518</x:v>
      </x:c>
      <x:c r="G23" s="12" t="str">
        <x:v>EUR/FTE</x:v>
      </x:c>
      <x:c r="H23" s="12" t="str">
        <x:v>H; retribuzione, contributi, TFR e sostituzioni; TFR esternalizzato/pagato</x:v>
      </x:c>
    </x:row>
    <x:row r="24" ht="43" customHeight="1">
      <x:c r="A24" s="12" t="str">
        <x:v>Sviluppo/manutenzione esterna</x:v>
      </x:c>
      <x:c r="B24" s="15" t="n">
        <x:v>6000</x:v>
      </x:c>
      <x:c r="C24" s="15" t="n">
        <x:v>9000</x:v>
      </x:c>
      <x:c r="D24" s="15" t="n">
        <x:v>12000</x:v>
      </x:c>
      <x:c r="E24" s="15" t="n">
        <x:v>15000</x:v>
      </x:c>
      <x:c r="F24" s="15" t="n">
        <x:v>18000</x:v>
      </x:c>
      <x:c r="G24" s="12" t="str">
        <x:v>EUR/anno</x:v>
      </x:c>
      <x:c r="H24" s="12" t="str">
        <x:v>H; contractor a progetto, no capitalizzazione software</x:v>
      </x:c>
    </x:row>
    <x:row r="25" ht="43" customHeight="1">
      <x:c r="A25" s="12" t="str">
        <x:v>Legale/privacy/compliance</x:v>
      </x:c>
      <x:c r="B25" s="15" t="n">
        <x:v>6000</x:v>
      </x:c>
      <x:c r="C25" s="15" t="n">
        <x:v>4500</x:v>
      </x:c>
      <x:c r="D25" s="15" t="n">
        <x:v>5000</x:v>
      </x:c>
      <x:c r="E25" s="15" t="n">
        <x:v>6000</x:v>
      </x:c>
      <x:c r="F25" s="15" t="n">
        <x:v>7000</x:v>
      </x:c>
      <x:c r="G25" s="12" t="str">
        <x:v>EUR/anno</x:v>
      </x:c>
      <x:c r="H25" s="12" t="str">
        <x:v>H; costo vivo; può essere insufficiente per perimetro AML pieno</x:v>
      </x:c>
    </x:row>
    <x:row r="26" ht="43" customHeight="1">
      <x:c r="A26" s="12" t="str">
        <x:v>Contabilità/paghe/adempimenti</x:v>
      </x:c>
      <x:c r="B26" s="15" t="n">
        <x:v>2400</x:v>
      </x:c>
      <x:c r="C26" s="15" t="n">
        <x:v>3000</x:v>
      </x:c>
      <x:c r="D26" s="15" t="n">
        <x:v>3600</x:v>
      </x:c>
      <x:c r="E26" s="15" t="n">
        <x:v>4200</x:v>
      </x:c>
      <x:c r="F26" s="15" t="n">
        <x:v>4800</x:v>
      </x:c>
      <x:c r="G26" s="12" t="str">
        <x:v>EUR/anno</x:v>
      </x:c>
      <x:c r="H26" s="12" t="str">
        <x:v>H; inclusi bolli/diritti nel budget medio</x:v>
      </x:c>
    </x:row>
    <x:row r="27" ht="43" customHeight="1">
      <x:c r="A27" s="12" t="str">
        <x:v>Assicurazioni RC/cyber</x:v>
      </x:c>
      <x:c r="B27" s="15" t="n">
        <x:v>1200</x:v>
      </x:c>
      <x:c r="C27" s="15" t="n">
        <x:v>1800</x:v>
      </x:c>
      <x:c r="D27" s="15" t="n">
        <x:v>2400</x:v>
      </x:c>
      <x:c r="E27" s="15" t="n">
        <x:v>3000</x:v>
      </x:c>
      <x:c r="F27" s="15" t="n">
        <x:v>3600</x:v>
      </x:c>
      <x:c r="G27" s="12" t="str">
        <x:v>EUR/anno</x:v>
      </x:c>
      <x:c r="H27" s="12" t="str">
        <x:v>H; polizza da quotare e franchigie da verificare</x:v>
      </x:c>
    </x:row>
    <x:row r="28" ht="43" customHeight="1">
      <x:c r="A28" s="12" t="str">
        <x:v>SaaS/cloud/AI fissi</x:v>
      </x:c>
      <x:c r="B28" s="15" t="n">
        <x:v>2400</x:v>
      </x:c>
      <x:c r="C28" s="15" t="n">
        <x:v>3600</x:v>
      </x:c>
      <x:c r="D28" s="15" t="n">
        <x:v>4800</x:v>
      </x:c>
      <x:c r="E28" s="15" t="n">
        <x:v>6000</x:v>
      </x:c>
      <x:c r="F28" s="15" t="n">
        <x:v>7200</x:v>
      </x:c>
      <x:c r="G28" s="12" t="str">
        <x:v>EUR/anno</x:v>
      </x:c>
      <x:c r="H28" s="12" t="str">
        <x:v>H; licenze, backup, sicurezza, workflow; variabili separati</x:v>
      </x:c>
    </x:row>
    <x:row r="29" ht="43" customHeight="1">
      <x:c r="A29" s="12" t="str">
        <x:v>Trasferte/banca/altre spese</x:v>
      </x:c>
      <x:c r="B29" s="15" t="n">
        <x:v>1200</x:v>
      </x:c>
      <x:c r="C29" s="15" t="n">
        <x:v>1800</x:v>
      </x:c>
      <x:c r="D29" s="15" t="n">
        <x:v>2400</x:v>
      </x:c>
      <x:c r="E29" s="15" t="n">
        <x:v>3000</x:v>
      </x:c>
      <x:c r="F29" s="15" t="n">
        <x:v>3600</x:v>
      </x:c>
      <x:c r="G29" s="12" t="str">
        <x:v>EUR/anno</x:v>
      </x:c>
      <x:c r="H29" s="12" t="str">
        <x:v>H; nessun ufficio proprio</x:v>
      </x:c>
    </x:row>
    <x:row r="30" ht="43" customHeight="1">
      <x:c r="A30" s="12" t="str">
        <x:v>Costituzione e setup</x:v>
      </x:c>
      <x:c r="B30" s="15" t="n">
        <x:v>3000</x:v>
      </x:c>
      <x:c r="C30" s="15" t="n">
        <x:v>0</x:v>
      </x:c>
      <x:c r="D30" s="15" t="n">
        <x:v>0</x:v>
      </x:c>
      <x:c r="E30" s="15" t="n">
        <x:v>0</x:v>
      </x:c>
      <x:c r="F30" s="15" t="n">
        <x:v>0</x:v>
      </x:c>
      <x:c r="G30" s="12" t="str">
        <x:v>EUR/anno</x:v>
      </x:c>
      <x:c r="H30" s="12" t="str">
        <x:v>H; spesato subito nel primo mese, IVA non modellata su questa voce</x:v>
      </x:c>
    </x:row>
    <x:row r="31" ht="43" customHeight="1">
      <x:c r="A31" s="12" t="str">
        <x:v>Hardware acquistato</x:v>
      </x:c>
      <x:c r="B31" s="15" t="n">
        <x:v>1500</x:v>
      </x:c>
      <x:c r="C31" s="15" t="n">
        <x:v>500</x:v>
      </x:c>
      <x:c r="D31" s="15" t="n">
        <x:v>500</x:v>
      </x:c>
      <x:c r="E31" s="15" t="n">
        <x:v>1000</x:v>
      </x:c>
      <x:c r="F31" s="15" t="n">
        <x:v>1000</x:v>
      </x:c>
      <x:c r="G31" s="12" t="str">
        <x:v>EUR/anno</x:v>
      </x:c>
      <x:c r="H31" s="12" t="str">
        <x:v>H; acquisto gennaio; ammortamento lineare 36 mesi</x:v>
      </x:c>
    </x:row>
    <x:row r="32" ht="43" customHeight="1">
      <x:c r="A32" s="12" t="str">
        <x:v>Capitale sociale iniziale</x:v>
      </x:c>
      <x:c r="B32" s="15" t="n">
        <x:v>10000</x:v>
      </x:c>
      <x:c r="C32" s="15" t="n">
        <x:v>0</x:v>
      </x:c>
      <x:c r="D32" s="15" t="n">
        <x:v>0</x:v>
      </x:c>
      <x:c r="E32" s="15" t="n">
        <x:v>0</x:v>
      </x:c>
      <x:c r="F32" s="15" t="n">
        <x:v>0</x:v>
      </x:c>
      <x:c r="G32" s="12" t="str">
        <x:v>EUR</x:v>
      </x:c>
      <x:c r="H32" s="12" t="str">
        <x:v>U; interamente versato a gennaio 2027</x:v>
      </x:c>
    </x:row>
    <x:row r="33" ht="43" customHeight="1">
      <x:c r="A33" s="12" t="str">
        <x:v>Apporti patrimoniali DA REPERIRE</x:v>
      </x:c>
      <x:c r="B33" s="15" t="n">
        <x:v>40000</x:v>
      </x:c>
      <x:c r="C33" s="15" t="n">
        <x:v>70000</x:v>
      </x:c>
      <x:c r="D33" s="15" t="n">
        <x:v>70000</x:v>
      </x:c>
      <x:c r="E33" s="15" t="n">
        <x:v>70000</x:v>
      </x:c>
      <x:c r="F33" s="15" t="n">
        <x:v>90000</x:v>
      </x:c>
      <x:c r="G33" s="12" t="str">
        <x:v>EUR/anno</x:v>
      </x:c>
      <x:c r="H33" s="12" t="str">
        <x:v>H condizionante; riserva capitale, non debito; non deliberati né disponibili</x:v>
      </x:c>
    </x:row>
    <x:row r="34" ht="43" customHeight="1">
      <x:c r="A34" s="12" t="str">
        <x:v>IVA domestica</x:v>
      </x:c>
      <x:c r="B34" s="14" t="n">
        <x:v>0.22</x:v>
      </x:c>
      <x:c r="C34" s="14" t="n">
        <x:v>0.22</x:v>
      </x:c>
      <x:c r="D34" s="14" t="n">
        <x:v>0.22</x:v>
      </x:c>
      <x:c r="E34" s="14" t="n">
        <x:v>0.22</x:v>
      </x:c>
      <x:c r="F34" s="14" t="n">
        <x:v>0.22</x:v>
      </x:c>
      <x:c r="G34" s="12" t="str">
        <x:v>%</x:v>
      </x:c>
      <x:c r="H34" s="12" t="str">
        <x:v>H operatività Italia; regime ordinario, input IVA stimata su servizi imponibili</x:v>
      </x:c>
    </x:row>
    <x:row r="35" ht="43" customHeight="1">
      <x:c r="A35" s="12" t="str">
        <x:v>Pagamento percentuale</x:v>
      </x:c>
      <x:c r="B35" s="14" t="n">
        <x:v>0.015</x:v>
      </x:c>
      <x:c r="C35" s="14" t="n">
        <x:v>0.015</x:v>
      </x:c>
      <x:c r="D35" s="14" t="n">
        <x:v>0.015</x:v>
      </x:c>
      <x:c r="E35" s="14" t="n">
        <x:v>0.015</x:v>
      </x:c>
      <x:c r="F35" s="14" t="n">
        <x:v>0.015</x:v>
      </x:c>
      <x:c r="G35" s="12" t="str">
        <x:v>% lordo IVA</x:v>
      </x:c>
      <x:c r="H35" s="12" t="str">
        <x:v>F Stripe carte SEE standard: https://stripe.com/en-it/pricing</x:v>
      </x:c>
    </x:row>
    <x:row r="36" ht="43" customHeight="1">
      <x:c r="A36" s="12" t="str">
        <x:v>Pagamento quota fissa</x:v>
      </x:c>
      <x:c r="B36" s="13" t="n">
        <x:v>0.25</x:v>
      </x:c>
      <x:c r="C36" s="13" t="n">
        <x:v>0.25</x:v>
      </x:c>
      <x:c r="D36" s="13" t="n">
        <x:v>0.25</x:v>
      </x:c>
      <x:c r="E36" s="13" t="n">
        <x:v>0.25</x:v>
      </x:c>
      <x:c r="F36" s="13" t="n">
        <x:v>0.25</x:v>
      </x:c>
      <x:c r="G36" s="12" t="str">
        <x:v>EUR/transazione</x:v>
      </x:c>
      <x:c r="H36" s="12" t="str">
        <x:v>F Stripe; 1 transazione/cliente/mese; altre carte escluse</x:v>
      </x:c>
    </x:row>
    <x:row r="37" ht="43" customHeight="1">
      <x:c r="A37" s="12" t="str">
        <x:v>Giorni incasso PSP</x:v>
      </x:c>
      <x:c r="B37" s="15" t="n">
        <x:v>2</x:v>
      </x:c>
      <x:c r="C37" s="15" t="n">
        <x:v>2</x:v>
      </x:c>
      <x:c r="D37" s="15" t="n">
        <x:v>2</x:v>
      </x:c>
      <x:c r="E37" s="15" t="n">
        <x:v>2</x:v>
      </x:c>
      <x:c r="F37" s="15" t="n">
        <x:v>2</x:v>
      </x:c>
      <x:c r="G37" s="12" t="str">
        <x:v>giorni / 30</x:v>
      </x:c>
      <x:c r="H37" s="12" t="str">
        <x:v>H crediti di fine mese; partner pagati nello stesso mese</x:v>
      </x:c>
    </x:row>
    <x:row r="38" ht="43" customHeight="1">
      <x:c r="A38" s="12" t="str">
        <x:v>IRES prudenziale</x:v>
      </x:c>
      <x:c r="B38" s="14" t="n">
        <x:v>0.24</x:v>
      </x:c>
      <x:c r="C38" s="14" t="n">
        <x:v>0.24</x:v>
      </x:c>
      <x:c r="D38" s="14" t="n">
        <x:v>0.24</x:v>
      </x:c>
      <x:c r="E38" s="14" t="n">
        <x:v>0.24</x:v>
      </x:c>
      <x:c r="F38" s="14" t="n">
        <x:v>0.24</x:v>
      </x:c>
      <x:c r="G38" s="12" t="str">
        <x:v>%</x:v>
      </x:c>
      <x:c r="H38" s="12" t="str">
        <x:v>H proxy aliquota ordinaria; nessun beneficio perdite pregresse/anticipate</x:v>
      </x:c>
    </x:row>
    <x:row r="39" ht="43" customHeight="1">
      <x:c r="A39" s="12" t="str">
        <x:v>IRAP prudenziale</x:v>
      </x:c>
      <x:c r="B39" s="14" t="n">
        <x:v>0.039</x:v>
      </x:c>
      <x:c r="C39" s="14" t="n">
        <x:v>0.039</x:v>
      </x:c>
      <x:c r="D39" s="14" t="n">
        <x:v>0.039</x:v>
      </x:c>
      <x:c r="E39" s="14" t="n">
        <x:v>0.039</x:v>
      </x:c>
      <x:c r="F39" s="14" t="n">
        <x:v>0.039</x:v>
      </x:c>
      <x:c r="G39" s="12" t="str">
        <x:v>%</x:v>
      </x:c>
      <x:c r="H39" s="12" t="str">
        <x:v>H proxy nazionale; base EBIT + founder, non calcolo fiscale definitivo</x:v>
      </x:c>
    </x:row>
    <x:row r="40" ht="43" customHeight="1">
      <x:c r="A40" s="12" t="str">
        <x:v>Minuti gestione per cliente/mese</x:v>
      </x:c>
      <x:c r="B40" s="15" t="n">
        <x:v>8</x:v>
      </x:c>
      <x:c r="C40" s="15" t="n">
        <x:v>8</x:v>
      </x:c>
      <x:c r="D40" s="15" t="n">
        <x:v>8</x:v>
      </x:c>
      <x:c r="E40" s="15" t="n">
        <x:v>8</x:v>
      </x:c>
      <x:c r="F40" s="15" t="n">
        <x:v>8</x:v>
      </x:c>
      <x:c r="G40" s="12" t="str">
        <x:v>minuti</x:v>
      </x:c>
      <x:c r="H40" s="12" t="str">
        <x:v>H umano residuo dopo automazione; posta fisica al partner</x:v>
      </x:c>
    </x:row>
    <x:row r="41" ht="43" customHeight="1">
      <x:c r="A41" s="12" t="str">
        <x:v>Minuti onboarding per attivato</x:v>
      </x:c>
      <x:c r="B41" s="15" t="n">
        <x:v>35</x:v>
      </x:c>
      <x:c r="C41" s="15" t="n">
        <x:v>35</x:v>
      </x:c>
      <x:c r="D41" s="15" t="n">
        <x:v>35</x:v>
      </x:c>
      <x:c r="E41" s="15" t="n">
        <x:v>35</x:v>
      </x:c>
      <x:c r="F41" s="15" t="n">
        <x:v>35</x:v>
      </x:c>
      <x:c r="G41" s="12" t="str">
        <x:v>minuti</x:v>
      </x:c>
      <x:c r="H41" s="12" t="str">
        <x:v>H revisione documenti/eccezioni</x:v>
      </x:c>
    </x:row>
    <x:row r="42" ht="43" customHeight="1">
      <x:c r="A42" s="12" t="str">
        <x:v>Ore operations founder/mese</x:v>
      </x:c>
      <x:c r="B42" s="15" t="n">
        <x:v>40</x:v>
      </x:c>
      <x:c r="C42" s="15" t="n">
        <x:v>40</x:v>
      </x:c>
      <x:c r="D42" s="15" t="n">
        <x:v>40</x:v>
      </x:c>
      <x:c r="E42" s="15" t="n">
        <x:v>40</x:v>
      </x:c>
      <x:c r="F42" s="15" t="n">
        <x:v>40</x:v>
      </x:c>
      <x:c r="G42" s="12" t="str">
        <x:v>ore totali</x:v>
      </x:c>
      <x:c r="H42" s="12" t="str">
        <x:v>H capacità totale team founder, non numero persone</x:v>
      </x:c>
    </x:row>
    <x:row r="43" ht="43" customHeight="1">
      <x:c r="A43" s="12" t="str">
        <x:v>Ore produttive per FTE/mese</x:v>
      </x:c>
      <x:c r="B43" s="15" t="n">
        <x:v>120</x:v>
      </x:c>
      <x:c r="C43" s="15" t="n">
        <x:v>120</x:v>
      </x:c>
      <x:c r="D43" s="15" t="n">
        <x:v>120</x:v>
      </x:c>
      <x:c r="E43" s="15" t="n">
        <x:v>120</x:v>
      </x:c>
      <x:c r="F43" s="15" t="n">
        <x:v>120</x:v>
      </x:c>
      <x:c r="G43" s="12" t="str">
        <x:v>ore</x:v>
      </x:c>
      <x:c r="H43" s="12" t="str">
        <x:v>H ferie, riunioni e formazione già escluse</x:v>
      </x:c>
    </x:row>
    <x:row r="44" ht="43" customHeight="1">
      <x:c r="A44" s="12" t="str">
        <x:v>Ore gestione sedi/mese</x:v>
      </x:c>
      <x:c r="B44" s="15" t="n">
        <x:v>12</x:v>
      </x:c>
      <x:c r="C44" s="15" t="n">
        <x:v>18</x:v>
      </x:c>
      <x:c r="D44" s="15" t="n">
        <x:v>24</x:v>
      </x:c>
      <x:c r="E44" s="15" t="n">
        <x:v>30</x:v>
      </x:c>
      <x:c r="F44" s="15" t="n">
        <x:v>36</x:v>
      </x:c>
      <x:c r="G44" s="12" t="str">
        <x:v>ore</x:v>
      </x:c>
      <x:c r="H44" s="12" t="str">
        <x:v>H audit/escalation e controllo rete, oltre clienti</x:v>
      </x:c>
    </x:row>
    <x:row r="45" ht="43" customHeight="1">
      <x:c r="A45" s="12" t="str">
        <x:v>Capacità acquisizione: fattore</x:v>
      </x:c>
      <x:c r="B45" s="16" t="n">
        <x:v>1</x:v>
      </x:c>
      <x:c r="C45" s="16" t="n">
        <x:v>1</x:v>
      </x:c>
      <x:c r="D45" s="16" t="n">
        <x:v>1</x:v>
      </x:c>
      <x:c r="E45" s="16" t="n">
        <x:v>1</x:v>
      </x:c>
      <x:c r="F45" s="16" t="n">
        <x:v>1</x:v>
      </x:c>
      <x:c r="G45" s="12" t="str">
        <x:v>moltiplicatore</x:v>
      </x:c>
      <x:c r="H45" s="12" t="str">
        <x:v>H stress: 0.5 dimezza attivazioni a budget invariato</x:v>
      </x:c>
    </x:row>
    <x:row r="46" ht="25" customHeight="1">
      <x:c r="A46" s="1"/>
      <x:c r="B46" s="1"/>
      <x:c r="C46" s="1"/>
      <x:c r="D46" s="1"/>
      <x:c r="E46" s="1"/>
      <x:c r="F46" s="1"/>
      <x:c r="G46" s="1"/>
      <x:c r="H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  <x:col min="32" max="32" width="17" hidden="0" customWidth="1"/>
    <x:col min="33" max="33" width="17" hidden="0" customWidth="1"/>
    <x:col min="34" max="34" width="17" hidden="0" customWidth="1"/>
    <x:col min="35" max="35" width="17" hidden="0" customWidth="1"/>
    <x:col min="36" max="36" width="17" hidden="0" customWidth="1"/>
    <x:col min="37" max="37" width="17" hidden="0" customWidth="1"/>
    <x:col min="38" max="38" width="17" hidden="0" customWidth="1"/>
    <x:col min="39" max="39" width="17" hidden="0" customWidth="1"/>
    <x:col min="40" max="40" width="17" hidden="0" customWidth="1"/>
    <x:col min="41" max="41" width="17" hidden="0" customWidth="1"/>
  </x:cols>
  <x:sheetData>
    <x:row r="1" ht="25" customHeight="1">
      <x:c r="A1" s="1" t="str">
        <x:v>60 mesi · fatturazione media mensile · nessun contratto annuale anticipato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</x:row>
    <x:row r="2" ht="25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</x:row>
    <x:row r="5" ht="36" customHeight="1">
      <x:c r="A5" s="5" t="str">
        <x:v>Mese</x:v>
      </x:c>
      <x:c r="B5" s="5" t="str">
        <x:v>Anno</x:v>
      </x:c>
      <x:c r="C5" s="5" t="str">
        <x:v>Clienti iniziali</x:v>
      </x:c>
      <x:c r="D5" s="5" t="str">
        <x:v>Nuovi</x:v>
      </x:c>
      <x:c r="E5" s="5" t="str">
        <x:v>Persi</x:v>
      </x:c>
      <x:c r="F5" s="5" t="str">
        <x:v>Clienti finali</x:v>
      </x:c>
      <x:c r="G5" s="5" t="str">
        <x:v>Clienti medi</x:v>
      </x:c>
      <x:c r="H5" s="5" t="str">
        <x:v>Ricavi</x:v>
      </x:c>
      <x:c r="I5" s="5" t="str">
        <x:v>Partner</x:v>
      </x:c>
      <x:c r="J5" s="5" t="str">
        <x:v>PSP</x:v>
      </x:c>
      <x:c r="K5" s="5" t="str">
        <x:v>Variabili/perdite</x:v>
      </x:c>
      <x:c r="L5" s="5" t="str">
        <x:v>KYC</x:v>
      </x:c>
      <x:c r="M5" s="5" t="str">
        <x:v>Marketing</x:v>
      </x:c>
      <x:c r="N5" s="5" t="str">
        <x:v>Founder</x:v>
      </x:c>
      <x:c r="O5" s="5" t="str">
        <x:v>Operations</x:v>
      </x:c>
      <x:c r="P5" s="5" t="str">
        <x:v>Sviluppo</x:v>
      </x:c>
      <x:c r="Q5" s="5" t="str">
        <x:v>Generali</x:v>
      </x:c>
      <x:c r="R5" s="5" t="str">
        <x:v>Setup</x:v>
      </x:c>
      <x:c r="S5" s="5" t="str">
        <x:v>EBITDA</x:v>
      </x:c>
      <x:c r="T5" s="5" t="str">
        <x:v>Ammort.</x:v>
      </x:c>
      <x:c r="U5" s="5" t="str">
        <x:v>EBIT</x:v>
      </x:c>
      <x:c r="V5" s="5" t="str">
        <x:v>Imposte proxy</x:v>
      </x:c>
      <x:c r="W5" s="5" t="str">
        <x:v>Utile</x:v>
      </x:c>
      <x:c r="X5" s="5" t="str">
        <x:v>Capex</x:v>
      </x:c>
      <x:c r="Y5" s="5" t="str">
        <x:v>Crediti PSP</x:v>
      </x:c>
      <x:c r="Z5" s="5" t="str">
        <x:v>Credito IVA</x:v>
      </x:c>
      <x:c r="AA5" s="5" t="str">
        <x:v>Debito IVA</x:v>
      </x:c>
      <x:c r="AB5" s="5" t="str">
        <x:v>Delta CCN</x:v>
      </x:c>
      <x:c r="AC5" s="5" t="str">
        <x:v>Cassa operativa</x:v>
      </x:c>
      <x:c r="AD5" s="5" t="str">
        <x:v>Capitale</x:v>
      </x:c>
      <x:c r="AE5" s="5" t="str">
        <x:v>Apporti previsti</x:v>
      </x:c>
      <x:c r="AF5" s="5" t="str">
        <x:v>Cassa finanziata</x:v>
      </x:c>
      <x:c r="AG5" s="5" t="str">
        <x:v>Cassa solo 10k</x:v>
      </x:c>
      <x:c r="AH5" s="5" t="str">
        <x:v>Immobilizzazioni</x:v>
      </x:c>
      <x:c r="AI5" s="5" t="str">
        <x:v>Utili cumulati</x:v>
      </x:c>
      <x:c r="AJ5" s="5" t="str">
        <x:v>Capitale+riserve</x:v>
      </x:c>
      <x:c r="AK5" s="5" t="str">
        <x:v>Check SP</x:v>
      </x:c>
      <x:c r="AL5" s="5" t="str">
        <x:v>Ore richieste</x:v>
      </x:c>
      <x:c r="AM5" s="5" t="str">
        <x:v>Ore disponibili</x:v>
      </x:c>
      <x:c r="AN5" s="5" t="str">
        <x:v>Deficit ore</x:v>
      </x:c>
      <x:c r="AO5" s="5" t="str">
        <x:v>Saldo IVA</x:v>
      </x:c>
    </x:row>
    <x:row r="6" ht="25" customHeight="1">
      <x:c r="A6" s="17" t="n">
        <x:f>1</x:f>
        <x:v>1</x:v>
      </x:c>
      <x:c r="B6" s="26" t="n">
        <x:f>2027</x:f>
        <x:v>2027</x:v>
      </x:c>
      <x:c r="C6" s="27" t="n">
        <x:f>0</x:f>
        <x:v>0</x:v>
      </x:c>
      <x:c r="D6" s="28" t="n">
        <x:f>('Ipotesi BP'!B9/'Ipotesi BP'!B10*'Ipotesi BP'!B11+'Ipotesi BP'!B13+'Ipotesi BP'!B15+'Ipotesi BP'!B17)/12*'Ipotesi BP'!B45</x:f>
        <x:v>5</x:v>
      </x:c>
      <x:c r="E6" s="28" t="n">
        <x:f>C6*'Ipotesi BP'!B8</x:f>
        <x:v>0</x:v>
      </x:c>
      <x:c r="F6" s="27" t="n">
        <x:f>C6+D6-E6</x:f>
        <x:v>5</x:v>
      </x:c>
      <x:c r="G6" s="27" t="n">
        <x:f>(C6+F6)/2</x:f>
        <x:v>2.5</x:v>
      </x:c>
      <x:c r="H6" s="18" t="n">
        <x:f>G6*'Ipotesi BP'!B6</x:f>
        <x:v>197.5</x:v>
      </x:c>
      <x:c r="I6" s="18" t="n">
        <x:f>G6*'Ipotesi BP'!B7</x:f>
        <x:v>125</x:v>
      </x:c>
      <x:c r="J6" s="18" t="n">
        <x:f>G6*('Ipotesi BP'!B6*(1+'Ipotesi BP'!B34)*'Ipotesi BP'!B35+'Ipotesi BP'!B36)</x:f>
        <x:v>4.23925</x:v>
      </x:c>
      <x:c r="K6" s="18" t="n">
        <x:f>G6*'Ipotesi BP'!B19+H6*'Ipotesi BP'!B20</x:f>
        <x:v>6.975</x:v>
      </x:c>
      <x:c r="L6" s="18" t="n">
        <x:f>D6*'Ipotesi BP'!B18</x:f>
        <x:v>120</x:v>
      </x:c>
      <x:c r="M6" s="18" t="n">
        <x:f>('Ipotesi BP'!B9+'Ipotesi BP'!B12+'Ipotesi BP'!B14+'Ipotesi BP'!B16)/12</x:f>
        <x:v>700</x:v>
      </x:c>
      <x:c r="N6" s="18" t="n">
        <x:f>'Ipotesi BP'!B21/12</x:f>
        <x:v>0</x:v>
      </x:c>
      <x:c r="O6" s="18" t="n">
        <x:f>'Ipotesi BP'!B22*'Ipotesi BP'!B23/12</x:f>
        <x:v>0</x:v>
      </x:c>
      <x:c r="P6" s="18" t="n">
        <x:f>'Ipotesi BP'!B24/12</x:f>
        <x:v>500</x:v>
      </x:c>
      <x:c r="Q6" s="18" t="n">
        <x:f>SUM('Ipotesi BP'!B25:B29)/12</x:f>
        <x:v>1100</x:v>
      </x:c>
      <x:c r="R6" s="18" t="n">
        <x:f>'Ipotesi BP'!B30</x:f>
        <x:v>3000</x:v>
      </x:c>
      <x:c r="S6" s="17" t="n">
        <x:f>H6-SUM(I6:R6)</x:f>
        <x:v>-5358.71425</x:v>
      </x:c>
      <x:c r="T6" s="17" t="n">
        <x:f>SUM(X6:X6)/36</x:f>
        <x:v>41.666666666666664</x:v>
      </x:c>
      <x:c r="U6" s="17" t="n">
        <x:f>S6-T6</x:f>
        <x:v>-5400.380916666667</x:v>
      </x:c>
      <x:c r="V6" s="18" t="n">
        <x:f>MAX(0,U6)*'Ipotesi BP'!B38+MAX(0,U6+N6)*'Ipotesi BP'!B39</x:f>
        <x:v>0</x:v>
      </x:c>
      <x:c r="W6" s="17" t="n">
        <x:f>U6-V6</x:f>
        <x:v>-5400.380916666667</x:v>
      </x:c>
      <x:c r="X6" s="18" t="n">
        <x:f>'Ipotesi BP'!B31</x:f>
        <x:v>1500</x:v>
      </x:c>
      <x:c r="Y6" s="18" t="n">
        <x:f>H6*(1+'Ipotesi BP'!B34)*'Ipotesi BP'!B37/30</x:f>
        <x:v>16.063333333333333</x:v>
      </x:c>
      <x:c r="Z6" s="17" t="n">
        <x:f>MAX(0,-AO6)</x:f>
        <x:v>825.55</x:v>
      </x:c>
      <x:c r="AA6" s="17" t="n">
        <x:f>MAX(0,AO6)</x:f>
        <x:v>0</x:v>
      </x:c>
      <x:c r="AB6" s="17" t="n">
        <x:f>Y6+Z6-AA6</x:f>
        <x:v>841.6133333333332</x:v>
      </x:c>
      <x:c r="AC6" s="17" t="n">
        <x:f>W6+T6-AB6</x:f>
        <x:v>-6200.327583333334</x:v>
      </x:c>
      <x:c r="AD6" s="18" t="n">
        <x:f>'Ipotesi BP'!B32</x:f>
        <x:v>10000</x:v>
      </x:c>
      <x:c r="AE6" s="18" t="n">
        <x:f>'Ipotesi BP'!B33</x:f>
        <x:v>40000</x:v>
      </x:c>
      <x:c r="AF6" s="17" t="n">
        <x:f>0+AC6-X6+AD6+AE6</x:f>
        <x:v>42299.67241666667</x:v>
      </x:c>
      <x:c r="AG6" s="17" t="n">
        <x:f>0+AC6-X6+AD6</x:f>
        <x:v>2299.6724166666663</x:v>
      </x:c>
      <x:c r="AH6" s="17" t="n">
        <x:f>SUM($X$6:X6)-SUM($T$6:T6)</x:f>
        <x:v>1458.3333333333333</x:v>
      </x:c>
      <x:c r="AI6" s="17" t="n">
        <x:f>SUM($W$6:W6)</x:f>
        <x:v>-5400.380916666667</x:v>
      </x:c>
      <x:c r="AJ6" s="17" t="n">
        <x:f>SUM($AD$6:AE6)</x:f>
        <x:v>50000</x:v>
      </x:c>
      <x:c r="AK6" s="17" t="n">
        <x:f>AF6+Y6+Z6+AH6-AA6-AI6-AJ6</x:f>
        <x:v>7.275957614183426e-12</x:v>
      </x:c>
      <x:c r="AL6" s="18" t="n">
        <x:f>G6*'Ipotesi BP'!B40/60+D6*'Ipotesi BP'!B41/60+'Ipotesi BP'!B44</x:f>
        <x:v>15.25</x:v>
      </x:c>
      <x:c r="AM6" s="18" t="n">
        <x:f>'Ipotesi BP'!B42+'Ipotesi BP'!B22*'Ipotesi BP'!B43</x:f>
        <x:v>40</x:v>
      </x:c>
      <x:c r="AN6" s="17" t="n">
        <x:f>MAX(0,AL6-AM6)</x:f>
        <x:v>0</x:v>
      </x:c>
      <x:c r="AO6" s="18" t="n">
        <x:f>0+(H6-I6-G6*'Ipotesi BP'!B19-L6-M6-P6-Q6+'Ipotesi BP'!B27/12-X6)*'Ipotesi BP'!B34</x:f>
        <x:v>-825.55</x:v>
      </x:c>
    </x:row>
    <x:row r="7" ht="25" customHeight="1">
      <x:c r="A7" s="17" t="n">
        <x:f>2</x:f>
        <x:v>2</x:v>
      </x:c>
      <x:c r="B7" s="26" t="n">
        <x:f>2027</x:f>
        <x:v>2027</x:v>
      </x:c>
      <x:c r="C7" s="27" t="n">
        <x:f>F6</x:f>
        <x:v>5</x:v>
      </x:c>
      <x:c r="D7" s="28" t="n">
        <x:f>('Ipotesi BP'!B9/'Ipotesi BP'!B10*'Ipotesi BP'!B11+'Ipotesi BP'!B13+'Ipotesi BP'!B15+'Ipotesi BP'!B17)/12*'Ipotesi BP'!B45</x:f>
        <x:v>5</x:v>
      </x:c>
      <x:c r="E7" s="28" t="n">
        <x:f>C7*'Ipotesi BP'!B8</x:f>
        <x:v>0.1</x:v>
      </x:c>
      <x:c r="F7" s="27" t="n">
        <x:f>C7+D7-E7</x:f>
        <x:v>9.9</x:v>
      </x:c>
      <x:c r="G7" s="27" t="n">
        <x:f>(C7+F7)/2</x:f>
        <x:v>7.45</x:v>
      </x:c>
      <x:c r="H7" s="18" t="n">
        <x:f>G7*'Ipotesi BP'!B6</x:f>
        <x:v>588.5500000000001</x:v>
      </x:c>
      <x:c r="I7" s="18" t="n">
        <x:f>G7*'Ipotesi BP'!B7</x:f>
        <x:v>372.5</x:v>
      </x:c>
      <x:c r="J7" s="18" t="n">
        <x:f>G7*('Ipotesi BP'!B6*(1+'Ipotesi BP'!B34)*'Ipotesi BP'!B35+'Ipotesi BP'!B36)</x:f>
        <x:v>12.632965</x:v>
      </x:c>
      <x:c r="K7" s="18" t="n">
        <x:f>G7*'Ipotesi BP'!B19+H7*'Ipotesi BP'!B20</x:f>
        <x:v>20.7855</x:v>
      </x:c>
      <x:c r="L7" s="18" t="n">
        <x:f>D7*'Ipotesi BP'!B18</x:f>
        <x:v>120</x:v>
      </x:c>
      <x:c r="M7" s="18" t="n">
        <x:f>('Ipotesi BP'!B9+'Ipotesi BP'!B12+'Ipotesi BP'!B14+'Ipotesi BP'!B16)/12</x:f>
        <x:v>700</x:v>
      </x:c>
      <x:c r="N7" s="18" t="n">
        <x:f>'Ipotesi BP'!B21/12</x:f>
        <x:v>0</x:v>
      </x:c>
      <x:c r="O7" s="18" t="n">
        <x:f>'Ipotesi BP'!B22*'Ipotesi BP'!B23/12</x:f>
        <x:v>0</x:v>
      </x:c>
      <x:c r="P7" s="18" t="n">
        <x:f>'Ipotesi BP'!B24/12</x:f>
        <x:v>500</x:v>
      </x:c>
      <x:c r="Q7" s="18" t="n">
        <x:f>SUM('Ipotesi BP'!B25:B29)/12</x:f>
        <x:v>1100</x:v>
      </x:c>
      <x:c r="R7" s="17" t="n">
        <x:f>0</x:f>
        <x:v>0</x:v>
      </x:c>
      <x:c r="S7" s="17" t="n">
        <x:f>H7-SUM(I7:R7)</x:f>
        <x:v>-2237.3684649999996</x:v>
      </x:c>
      <x:c r="T7" s="17" t="n">
        <x:f>SUM(X6:X7)/36</x:f>
        <x:v>41.666666666666664</x:v>
      </x:c>
      <x:c r="U7" s="17" t="n">
        <x:f>S7-T7</x:f>
        <x:v>-2279.035131666666</x:v>
      </x:c>
      <x:c r="V7" s="18" t="n">
        <x:f>MAX(0,U7)*'Ipotesi BP'!B38+MAX(0,U7+N7)*'Ipotesi BP'!B39</x:f>
        <x:v>0</x:v>
      </x:c>
      <x:c r="W7" s="17" t="n">
        <x:f>U7-V7</x:f>
        <x:v>-2279.035131666666</x:v>
      </x:c>
      <x:c r="X7" s="17" t="n">
        <x:f>0</x:f>
        <x:v>0</x:v>
      </x:c>
      <x:c r="Y7" s="18" t="n">
        <x:f>H7*(1+'Ipotesi BP'!B34)*'Ipotesi BP'!B37/30</x:f>
        <x:v>47.86873333333334</x:v>
      </x:c>
      <x:c r="Z7" s="17" t="n">
        <x:f>MAX(0,-AO7)</x:f>
        <x:v>1291.697</x:v>
      </x:c>
      <x:c r="AA7" s="17" t="n">
        <x:f>MAX(0,AO7)</x:f>
        <x:v>0</x:v>
      </x:c>
      <x:c r="AB7" s="17" t="n">
        <x:f>Y7+Z7-AA7-Y6-Z6+AA6</x:f>
        <x:v>497.9523999999999</x:v>
      </x:c>
      <x:c r="AC7" s="17" t="n">
        <x:f>W7+T7-AB7</x:f>
        <x:v>-2735.3208649999997</x:v>
      </x:c>
      <x:c r="AD7" s="17" t="n">
        <x:f>0</x:f>
        <x:v>0</x:v>
      </x:c>
      <x:c r="AE7" s="17" t="n">
        <x:f>0</x:f>
        <x:v>0</x:v>
      </x:c>
      <x:c r="AF7" s="17" t="n">
        <x:f>AF6+AC7-X7+AD7+AE7</x:f>
        <x:v>39564.35155166667</x:v>
      </x:c>
      <x:c r="AG7" s="17" t="n">
        <x:f>AG6+AC7-X7+AD7</x:f>
        <x:v>-435.64844833333336</x:v>
      </x:c>
      <x:c r="AH7" s="17" t="n">
        <x:f>SUM($X$6:X7)-SUM($T$6:T7)</x:f>
        <x:v>1416.6666666666667</x:v>
      </x:c>
      <x:c r="AI7" s="17" t="n">
        <x:f>SUM($W$6:W7)</x:f>
        <x:v>-7679.416048333333</x:v>
      </x:c>
      <x:c r="AJ7" s="17" t="n">
        <x:f>SUM($AD$6:AE7)</x:f>
        <x:v>50000</x:v>
      </x:c>
      <x:c r="AK7" s="17" t="n">
        <x:f>AF7+Y7+Z7+AH7-AA7-AI7-AJ7</x:f>
        <x:v>0</x:v>
      </x:c>
      <x:c r="AL7" s="18" t="n">
        <x:f>G7*'Ipotesi BP'!B40/60+D7*'Ipotesi BP'!B41/60+'Ipotesi BP'!B44</x:f>
        <x:v>15.91</x:v>
      </x:c>
      <x:c r="AM7" s="18" t="n">
        <x:f>'Ipotesi BP'!B42+'Ipotesi BP'!B22*'Ipotesi BP'!B43</x:f>
        <x:v>40</x:v>
      </x:c>
      <x:c r="AN7" s="17" t="n">
        <x:f>MAX(0,AL7-AM7)</x:f>
        <x:v>0</x:v>
      </x:c>
      <x:c r="AO7" s="18" t="n">
        <x:f>AO6-MAX(0,AO6)+(H7-I7-G7*'Ipotesi BP'!B19-L7-M7-P7-Q7+'Ipotesi BP'!B27/12-X7)*'Ipotesi BP'!B34</x:f>
        <x:v>-1291.697</x:v>
      </x:c>
    </x:row>
    <x:row r="8" ht="25" customHeight="1">
      <x:c r="A8" s="17" t="n">
        <x:f>3</x:f>
        <x:v>3</x:v>
      </x:c>
      <x:c r="B8" s="26" t="n">
        <x:f>2027</x:f>
        <x:v>2027</x:v>
      </x:c>
      <x:c r="C8" s="27" t="n">
        <x:f>F7</x:f>
        <x:v>9.9</x:v>
      </x:c>
      <x:c r="D8" s="28" t="n">
        <x:f>('Ipotesi BP'!B9/'Ipotesi BP'!B10*'Ipotesi BP'!B11+'Ipotesi BP'!B13+'Ipotesi BP'!B15+'Ipotesi BP'!B17)/12*'Ipotesi BP'!B45</x:f>
        <x:v>5</x:v>
      </x:c>
      <x:c r="E8" s="28" t="n">
        <x:f>C8*'Ipotesi BP'!B8</x:f>
        <x:v>0.198</x:v>
      </x:c>
      <x:c r="F8" s="27" t="n">
        <x:f>C8+D8-E8</x:f>
        <x:v>14.702</x:v>
      </x:c>
      <x:c r="G8" s="27" t="n">
        <x:f>(C8+F8)/2</x:f>
        <x:v>12.301</x:v>
      </x:c>
      <x:c r="H8" s="18" t="n">
        <x:f>G8*'Ipotesi BP'!B6</x:f>
        <x:v>971.779</x:v>
      </x:c>
      <x:c r="I8" s="18" t="n">
        <x:f>G8*'Ipotesi BP'!B7</x:f>
        <x:v>615.05</x:v>
      </x:c>
      <x:c r="J8" s="18" t="n">
        <x:f>G8*('Ipotesi BP'!B6*(1+'Ipotesi BP'!B34)*'Ipotesi BP'!B35+'Ipotesi BP'!B36)</x:f>
        <x:v>20.8588057</x:v>
      </x:c>
      <x:c r="K8" s="18" t="n">
        <x:f>G8*'Ipotesi BP'!B19+H8*'Ipotesi BP'!B20</x:f>
        <x:v>34.31979</x:v>
      </x:c>
      <x:c r="L8" s="18" t="n">
        <x:f>D8*'Ipotesi BP'!B18</x:f>
        <x:v>120</x:v>
      </x:c>
      <x:c r="M8" s="18" t="n">
        <x:f>('Ipotesi BP'!B9+'Ipotesi BP'!B12+'Ipotesi BP'!B14+'Ipotesi BP'!B16)/12</x:f>
        <x:v>700</x:v>
      </x:c>
      <x:c r="N8" s="18" t="n">
        <x:f>'Ipotesi BP'!B21/12</x:f>
        <x:v>0</x:v>
      </x:c>
      <x:c r="O8" s="18" t="n">
        <x:f>'Ipotesi BP'!B22*'Ipotesi BP'!B23/12</x:f>
        <x:v>0</x:v>
      </x:c>
      <x:c r="P8" s="18" t="n">
        <x:f>'Ipotesi BP'!B24/12</x:f>
        <x:v>500</x:v>
      </x:c>
      <x:c r="Q8" s="18" t="n">
        <x:f>SUM('Ipotesi BP'!B25:B29)/12</x:f>
        <x:v>1100</x:v>
      </x:c>
      <x:c r="R8" s="17" t="n">
        <x:f>0</x:f>
        <x:v>0</x:v>
      </x:c>
      <x:c r="S8" s="17" t="n">
        <x:f>H8-SUM(I8:R8)</x:f>
        <x:v>-2118.4495957</x:v>
      </x:c>
      <x:c r="T8" s="17" t="n">
        <x:f>SUM(X6:X8)/36</x:f>
        <x:v>41.666666666666664</x:v>
      </x:c>
      <x:c r="U8" s="17" t="n">
        <x:f>S8-T8</x:f>
        <x:v>-2160.1162623666664</x:v>
      </x:c>
      <x:c r="V8" s="18" t="n">
        <x:f>MAX(0,U8)*'Ipotesi BP'!B38+MAX(0,U8+N8)*'Ipotesi BP'!B39</x:f>
        <x:v>0</x:v>
      </x:c>
      <x:c r="W8" s="17" t="n">
        <x:f>U8-V8</x:f>
        <x:v>-2160.1162623666664</x:v>
      </x:c>
      <x:c r="X8" s="17" t="n">
        <x:f>0</x:f>
        <x:v>0</x:v>
      </x:c>
      <x:c r="Y8" s="18" t="n">
        <x:f>H8*(1+'Ipotesi BP'!B34)*'Ipotesi BP'!B37/30</x:f>
        <x:v>79.03802533333332</x:v>
      </x:c>
      <x:c r="Z8" s="17" t="n">
        <x:f>MAX(0,-AO8)</x:f>
        <x:v>1729.0290599999998</x:v>
      </x:c>
      <x:c r="AA8" s="17" t="n">
        <x:f>MAX(0,AO8)</x:f>
        <x:v>0</x:v>
      </x:c>
      <x:c r="AB8" s="17" t="n">
        <x:f>Y8+Z8-AA8-Y7-Z7+AA7</x:f>
        <x:v>468.501352</x:v>
      </x:c>
      <x:c r="AC8" s="17" t="n">
        <x:f>W8+T8-AB8</x:f>
        <x:v>-2586.9509477</x:v>
      </x:c>
      <x:c r="AD8" s="17" t="n">
        <x:f>0</x:f>
        <x:v>0</x:v>
      </x:c>
      <x:c r="AE8" s="17" t="n">
        <x:f>0</x:f>
        <x:v>0</x:v>
      </x:c>
      <x:c r="AF8" s="17" t="n">
        <x:f>AF7+AC8-X8+AD8+AE8</x:f>
        <x:v>36977.400603966664</x:v>
      </x:c>
      <x:c r="AG8" s="17" t="n">
        <x:f>AG7+AC8-X8+AD8</x:f>
        <x:v>-3022.5993960333335</x:v>
      </x:c>
      <x:c r="AH8" s="17" t="n">
        <x:f>SUM($X$6:X8)-SUM($T$6:T8)</x:f>
        <x:v>1375</x:v>
      </x:c>
      <x:c r="AI8" s="17" t="n">
        <x:f>SUM($W$6:W8)</x:f>
        <x:v>-9839.532310699999</x:v>
      </x:c>
      <x:c r="AJ8" s="17" t="n">
        <x:f>SUM($AD$6:AE8)</x:f>
        <x:v>50000</x:v>
      </x:c>
      <x:c r="AK8" s="17" t="n">
        <x:f>AF8+Y8+Z8+AH8-AA8-AI8-AJ8</x:f>
        <x:v>0</x:v>
      </x:c>
      <x:c r="AL8" s="18" t="n">
        <x:f>G8*'Ipotesi BP'!B40/60+D8*'Ipotesi BP'!B41/60+'Ipotesi BP'!B44</x:f>
        <x:v>16.5568</x:v>
      </x:c>
      <x:c r="AM8" s="18" t="n">
        <x:f>'Ipotesi BP'!B42+'Ipotesi BP'!B22*'Ipotesi BP'!B43</x:f>
        <x:v>40</x:v>
      </x:c>
      <x:c r="AN8" s="17" t="n">
        <x:f>MAX(0,AL8-AM8)</x:f>
        <x:v>0</x:v>
      </x:c>
      <x:c r="AO8" s="18" t="n">
        <x:f>AO7-MAX(0,AO7)+(H8-I8-G8*'Ipotesi BP'!B19-L8-M8-P8-Q8+'Ipotesi BP'!B27/12-X8)*'Ipotesi BP'!B34</x:f>
        <x:v>-1729.0290599999998</x:v>
      </x:c>
    </x:row>
    <x:row r="9" ht="25" customHeight="1">
      <x:c r="A9" s="17" t="n">
        <x:f>4</x:f>
        <x:v>4</x:v>
      </x:c>
      <x:c r="B9" s="26" t="n">
        <x:f>2027</x:f>
        <x:v>2027</x:v>
      </x:c>
      <x:c r="C9" s="27" t="n">
        <x:f>F8</x:f>
        <x:v>14.702</x:v>
      </x:c>
      <x:c r="D9" s="28" t="n">
        <x:f>('Ipotesi BP'!B9/'Ipotesi BP'!B10*'Ipotesi BP'!B11+'Ipotesi BP'!B13+'Ipotesi BP'!B15+'Ipotesi BP'!B17)/12*'Ipotesi BP'!B45</x:f>
        <x:v>5</x:v>
      </x:c>
      <x:c r="E9" s="28" t="n">
        <x:f>C9*'Ipotesi BP'!B8</x:f>
        <x:v>0.29404</x:v>
      </x:c>
      <x:c r="F9" s="27" t="n">
        <x:f>C9+D9-E9</x:f>
        <x:v>19.40796</x:v>
      </x:c>
      <x:c r="G9" s="27" t="n">
        <x:f>(C9+F9)/2</x:f>
        <x:v>17.05498</x:v>
      </x:c>
      <x:c r="H9" s="18" t="n">
        <x:f>G9*'Ipotesi BP'!B6</x:f>
        <x:v>1347.3434200000002</x:v>
      </x:c>
      <x:c r="I9" s="18" t="n">
        <x:f>G9*'Ipotesi BP'!B7</x:f>
        <x:v>852.749</x:v>
      </x:c>
      <x:c r="J9" s="18" t="n">
        <x:f>G9*('Ipotesi BP'!B6*(1+'Ipotesi BP'!B34)*'Ipotesi BP'!B35+'Ipotesi BP'!B36)</x:f>
        <x:v>28.920129586</x:v>
      </x:c>
      <x:c r="K9" s="18" t="n">
        <x:f>G9*'Ipotesi BP'!B19+H9*'Ipotesi BP'!B20</x:f>
        <x:v>47.5833942</x:v>
      </x:c>
      <x:c r="L9" s="18" t="n">
        <x:f>D9*'Ipotesi BP'!B18</x:f>
        <x:v>120</x:v>
      </x:c>
      <x:c r="M9" s="18" t="n">
        <x:f>('Ipotesi BP'!B9+'Ipotesi BP'!B12+'Ipotesi BP'!B14+'Ipotesi BP'!B16)/12</x:f>
        <x:v>700</x:v>
      </x:c>
      <x:c r="N9" s="18" t="n">
        <x:f>'Ipotesi BP'!B21/12</x:f>
        <x:v>0</x:v>
      </x:c>
      <x:c r="O9" s="18" t="n">
        <x:f>'Ipotesi BP'!B22*'Ipotesi BP'!B23/12</x:f>
        <x:v>0</x:v>
      </x:c>
      <x:c r="P9" s="18" t="n">
        <x:f>'Ipotesi BP'!B24/12</x:f>
        <x:v>500</x:v>
      </x:c>
      <x:c r="Q9" s="18" t="n">
        <x:f>SUM('Ipotesi BP'!B25:B29)/12</x:f>
        <x:v>1100</x:v>
      </x:c>
      <x:c r="R9" s="17" t="n">
        <x:f>0</x:f>
        <x:v>0</x:v>
      </x:c>
      <x:c r="S9" s="17" t="n">
        <x:f>H9-SUM(I9:R9)</x:f>
        <x:v>-2001.9091037859998</x:v>
      </x:c>
      <x:c r="T9" s="17" t="n">
        <x:f>SUM(X6:X9)/36</x:f>
        <x:v>41.666666666666664</x:v>
      </x:c>
      <x:c r="U9" s="17" t="n">
        <x:f>S9-T9</x:f>
        <x:v>-2043.5757704526666</x:v>
      </x:c>
      <x:c r="V9" s="18" t="n">
        <x:f>MAX(0,U9)*'Ipotesi BP'!B38+MAX(0,U9+N9)*'Ipotesi BP'!B39</x:f>
        <x:v>0</x:v>
      </x:c>
      <x:c r="W9" s="17" t="n">
        <x:f>U9-V9</x:f>
        <x:v>-2043.5757704526666</x:v>
      </x:c>
      <x:c r="X9" s="17" t="n">
        <x:f>0</x:f>
        <x:v>0</x:v>
      </x:c>
      <x:c r="Y9" s="18" t="n">
        <x:f>H9*(1+'Ipotesi BP'!B34)*'Ipotesi BP'!B37/30</x:f>
        <x:v>109.58393149333334</x:v>
      </x:c>
      <x:c r="Z9" s="17" t="n">
        <x:f>MAX(0,-AO9)</x:f>
        <x:v>2138.1224788</x:v>
      </x:c>
      <x:c r="AA9" s="17" t="n">
        <x:f>MAX(0,AO9)</x:f>
        <x:v>0</x:v>
      </x:c>
      <x:c r="AB9" s="17" t="n">
        <x:f>Y9+Z9-AA9-Y8-Z8+AA8</x:f>
        <x:v>439.63932496000007</x:v>
      </x:c>
      <x:c r="AC9" s="17" t="n">
        <x:f>W9+T9-AB9</x:f>
        <x:v>-2441.548428746</x:v>
      </x:c>
      <x:c r="AD9" s="17" t="n">
        <x:f>0</x:f>
        <x:v>0</x:v>
      </x:c>
      <x:c r="AE9" s="17" t="n">
        <x:f>0</x:f>
        <x:v>0</x:v>
      </x:c>
      <x:c r="AF9" s="17" t="n">
        <x:f>AF8+AC9-X9+AD9+AE9</x:f>
        <x:v>34535.852175220665</x:v>
      </x:c>
      <x:c r="AG9" s="17" t="n">
        <x:f>AG8+AC9-X9+AD9</x:f>
        <x:v>-5464.147824779333</x:v>
      </x:c>
      <x:c r="AH9" s="17" t="n">
        <x:f>SUM($X$6:X9)-SUM($T$6:T9)</x:f>
        <x:v>1333.3333333333333</x:v>
      </x:c>
      <x:c r="AI9" s="17" t="n">
        <x:f>SUM($W$6:W9)</x:f>
        <x:v>-11883.108081152664</x:v>
      </x:c>
      <x:c r="AJ9" s="17" t="n">
        <x:f>SUM($AD$6:AE9)</x:f>
        <x:v>50000</x:v>
      </x:c>
      <x:c r="AK9" s="17" t="n">
        <x:f>AF9+Y9+Z9+AH9-AA9-AI9-AJ9</x:f>
        <x:v>-7.275957614183426e-12</x:v>
      </x:c>
      <x:c r="AL9" s="18" t="n">
        <x:f>G9*'Ipotesi BP'!B40/60+D9*'Ipotesi BP'!B41/60+'Ipotesi BP'!B44</x:f>
        <x:v>17.190663999999998</x:v>
      </x:c>
      <x:c r="AM9" s="18" t="n">
        <x:f>'Ipotesi BP'!B42+'Ipotesi BP'!B22*'Ipotesi BP'!B43</x:f>
        <x:v>40</x:v>
      </x:c>
      <x:c r="AN9" s="17" t="n">
        <x:f>MAX(0,AL9-AM9)</x:f>
        <x:v>0</x:v>
      </x:c>
      <x:c r="AO9" s="18" t="n">
        <x:f>AO8-MAX(0,AO8)+(H9-I9-G9*'Ipotesi BP'!B19-L9-M9-P9-Q9+'Ipotesi BP'!B27/12-X9)*'Ipotesi BP'!B34</x:f>
        <x:v>-2138.1224788</x:v>
      </x:c>
    </x:row>
    <x:row r="10" ht="25" customHeight="1">
      <x:c r="A10" s="17" t="n">
        <x:f>5</x:f>
        <x:v>5</x:v>
      </x:c>
      <x:c r="B10" s="26" t="n">
        <x:f>2027</x:f>
        <x:v>2027</x:v>
      </x:c>
      <x:c r="C10" s="27" t="n">
        <x:f>F9</x:f>
        <x:v>19.40796</x:v>
      </x:c>
      <x:c r="D10" s="28" t="n">
        <x:f>('Ipotesi BP'!B9/'Ipotesi BP'!B10*'Ipotesi BP'!B11+'Ipotesi BP'!B13+'Ipotesi BP'!B15+'Ipotesi BP'!B17)/12*'Ipotesi BP'!B45</x:f>
        <x:v>5</x:v>
      </x:c>
      <x:c r="E10" s="28" t="n">
        <x:f>C10*'Ipotesi BP'!B8</x:f>
        <x:v>0.3881592</x:v>
      </x:c>
      <x:c r="F10" s="27" t="n">
        <x:f>C10+D10-E10</x:f>
        <x:v>24.0198008</x:v>
      </x:c>
      <x:c r="G10" s="27" t="n">
        <x:f>(C10+F10)/2</x:f>
        <x:v>21.7138804</x:v>
      </x:c>
      <x:c r="H10" s="18" t="n">
        <x:f>G10*'Ipotesi BP'!B6</x:f>
        <x:v>1715.3965516</x:v>
      </x:c>
      <x:c r="I10" s="18" t="n">
        <x:f>G10*'Ipotesi BP'!B7</x:f>
        <x:v>1085.6940200000001</x:v>
      </x:c>
      <x:c r="J10" s="18" t="n">
        <x:f>G10*('Ipotesi BP'!B6*(1+'Ipotesi BP'!B34)*'Ipotesi BP'!B35+'Ipotesi BP'!B36)</x:f>
        <x:v>36.82022699428</x:v>
      </x:c>
      <x:c r="K10" s="18" t="n">
        <x:f>G10*'Ipotesi BP'!B19+H10*'Ipotesi BP'!B20</x:f>
        <x:v>60.581726316</x:v>
      </x:c>
      <x:c r="L10" s="18" t="n">
        <x:f>D10*'Ipotesi BP'!B18</x:f>
        <x:v>120</x:v>
      </x:c>
      <x:c r="M10" s="18" t="n">
        <x:f>('Ipotesi BP'!B9+'Ipotesi BP'!B12+'Ipotesi BP'!B14+'Ipotesi BP'!B16)/12</x:f>
        <x:v>700</x:v>
      </x:c>
      <x:c r="N10" s="18" t="n">
        <x:f>'Ipotesi BP'!B21/12</x:f>
        <x:v>0</x:v>
      </x:c>
      <x:c r="O10" s="18" t="n">
        <x:f>'Ipotesi BP'!B22*'Ipotesi BP'!B23/12</x:f>
        <x:v>0</x:v>
      </x:c>
      <x:c r="P10" s="18" t="n">
        <x:f>'Ipotesi BP'!B24/12</x:f>
        <x:v>500</x:v>
      </x:c>
      <x:c r="Q10" s="18" t="n">
        <x:f>SUM('Ipotesi BP'!B25:B29)/12</x:f>
        <x:v>1100</x:v>
      </x:c>
      <x:c r="R10" s="17" t="n">
        <x:f>0</x:f>
        <x:v>0</x:v>
      </x:c>
      <x:c r="S10" s="17" t="n">
        <x:f>H10-SUM(I10:R10)</x:f>
        <x:v>-1887.69942171028</x:v>
      </x:c>
      <x:c r="T10" s="17" t="n">
        <x:f>SUM(X6:X10)/36</x:f>
        <x:v>41.666666666666664</x:v>
      </x:c>
      <x:c r="U10" s="17" t="n">
        <x:f>S10-T10</x:f>
        <x:v>-1929.3660883769467</x:v>
      </x:c>
      <x:c r="V10" s="18" t="n">
        <x:f>MAX(0,U10)*'Ipotesi BP'!B38+MAX(0,U10+N10)*'Ipotesi BP'!B39</x:f>
        <x:v>0</x:v>
      </x:c>
      <x:c r="W10" s="17" t="n">
        <x:f>U10-V10</x:f>
        <x:v>-1929.3660883769467</x:v>
      </x:c>
      <x:c r="X10" s="17" t="n">
        <x:f>0</x:f>
        <x:v>0</x:v>
      </x:c>
      <x:c r="Y10" s="18" t="n">
        <x:f>H10*(1+'Ipotesi BP'!B34)*'Ipotesi BP'!B37/30</x:f>
        <x:v>139.51891953013333</x:v>
      </x:c>
      <x:c r="Z10" s="17" t="n">
        <x:f>MAX(0,-AO10)</x:f>
        <x:v>2519.542029224</x:v>
      </x:c>
      <x:c r="AA10" s="17" t="n">
        <x:f>MAX(0,AO10)</x:f>
        <x:v>0</x:v>
      </x:c>
      <x:c r="AB10" s="17" t="n">
        <x:f>Y10+Z10-AA10-Y9-Z9+AA9</x:f>
        <x:v>411.3545384608001</x:v>
      </x:c>
      <x:c r="AC10" s="17" t="n">
        <x:f>W10+T10-AB10</x:f>
        <x:v>-2299.05396017108</x:v>
      </x:c>
      <x:c r="AD10" s="17" t="n">
        <x:f>0</x:f>
        <x:v>0</x:v>
      </x:c>
      <x:c r="AE10" s="17" t="n">
        <x:f>0</x:f>
        <x:v>0</x:v>
      </x:c>
      <x:c r="AF10" s="17" t="n">
        <x:f>AF9+AC10-X10+AD10+AE10</x:f>
        <x:v>32236.798215049585</x:v>
      </x:c>
      <x:c r="AG10" s="17" t="n">
        <x:f>AG9+AC10-X10+AD10</x:f>
        <x:v>-7763.201784950413</x:v>
      </x:c>
      <x:c r="AH10" s="17" t="n">
        <x:f>SUM($X$6:X10)-SUM($T$6:T10)</x:f>
        <x:v>1291.6666666666667</x:v>
      </x:c>
      <x:c r="AI10" s="17" t="n">
        <x:f>SUM($W$6:W10)</x:f>
        <x:v>-13812.47416952961</x:v>
      </x:c>
      <x:c r="AJ10" s="17" t="n">
        <x:f>SUM($AD$6:AE10)</x:f>
        <x:v>50000</x:v>
      </x:c>
      <x:c r="AK10" s="17" t="n">
        <x:f>AF10+Y10+Z10+AH10-AA10-AI10-AJ10</x:f>
        <x:v>-7.275957614183426e-12</x:v>
      </x:c>
      <x:c r="AL10" s="18" t="n">
        <x:f>G10*'Ipotesi BP'!B40/60+D10*'Ipotesi BP'!B41/60+'Ipotesi BP'!B44</x:f>
        <x:v>17.81185072</x:v>
      </x:c>
      <x:c r="AM10" s="18" t="n">
        <x:f>'Ipotesi BP'!B42+'Ipotesi BP'!B22*'Ipotesi BP'!B43</x:f>
        <x:v>40</x:v>
      </x:c>
      <x:c r="AN10" s="17" t="n">
        <x:f>MAX(0,AL10-AM10)</x:f>
        <x:v>0</x:v>
      </x:c>
      <x:c r="AO10" s="18" t="n">
        <x:f>AO9-MAX(0,AO9)+(H10-I10-G10*'Ipotesi BP'!B19-L10-M10-P10-Q10+'Ipotesi BP'!B27/12-X10)*'Ipotesi BP'!B34</x:f>
        <x:v>-2519.542029224</x:v>
      </x:c>
    </x:row>
    <x:row r="11" ht="25" customHeight="1">
      <x:c r="A11" s="17" t="n">
        <x:f>6</x:f>
        <x:v>6</x:v>
      </x:c>
      <x:c r="B11" s="26" t="n">
        <x:f>2027</x:f>
        <x:v>2027</x:v>
      </x:c>
      <x:c r="C11" s="27" t="n">
        <x:f>F10</x:f>
        <x:v>24.0198008</x:v>
      </x:c>
      <x:c r="D11" s="28" t="n">
        <x:f>('Ipotesi BP'!B9/'Ipotesi BP'!B10*'Ipotesi BP'!B11+'Ipotesi BP'!B13+'Ipotesi BP'!B15+'Ipotesi BP'!B17)/12*'Ipotesi BP'!B45</x:f>
        <x:v>5</x:v>
      </x:c>
      <x:c r="E11" s="28" t="n">
        <x:f>C11*'Ipotesi BP'!B8</x:f>
        <x:v>0.480396016</x:v>
      </x:c>
      <x:c r="F11" s="27" t="n">
        <x:f>C11+D11-E11</x:f>
        <x:v>28.539404784</x:v>
      </x:c>
      <x:c r="G11" s="27" t="n">
        <x:f>(C11+F11)/2</x:f>
        <x:v>26.279602792</x:v>
      </x:c>
      <x:c r="H11" s="18" t="n">
        <x:f>G11*'Ipotesi BP'!B6</x:f>
        <x:v>2076.088620568</x:v>
      </x:c>
      <x:c r="I11" s="18" t="n">
        <x:f>G11*'Ipotesi BP'!B7</x:f>
        <x:v>1313.9801396</x:v>
      </x:c>
      <x:c r="J11" s="18" t="n">
        <x:f>G11*('Ipotesi BP'!B6*(1+'Ipotesi BP'!B34)*'Ipotesi BP'!B35+'Ipotesi BP'!B36)</x:f>
        <x:v>44.5623224543944</x:v>
      </x:c>
      <x:c r="K11" s="18" t="n">
        <x:f>G11*'Ipotesi BP'!B19+H11*'Ipotesi BP'!B20</x:f>
        <x:v>73.32009178967999</x:v>
      </x:c>
      <x:c r="L11" s="18" t="n">
        <x:f>D11*'Ipotesi BP'!B18</x:f>
        <x:v>120</x:v>
      </x:c>
      <x:c r="M11" s="18" t="n">
        <x:f>('Ipotesi BP'!B9+'Ipotesi BP'!B12+'Ipotesi BP'!B14+'Ipotesi BP'!B16)/12</x:f>
        <x:v>700</x:v>
      </x:c>
      <x:c r="N11" s="18" t="n">
        <x:f>'Ipotesi BP'!B21/12</x:f>
        <x:v>0</x:v>
      </x:c>
      <x:c r="O11" s="18" t="n">
        <x:f>'Ipotesi BP'!B22*'Ipotesi BP'!B23/12</x:f>
        <x:v>0</x:v>
      </x:c>
      <x:c r="P11" s="18" t="n">
        <x:f>'Ipotesi BP'!B24/12</x:f>
        <x:v>500</x:v>
      </x:c>
      <x:c r="Q11" s="18" t="n">
        <x:f>SUM('Ipotesi BP'!B25:B29)/12</x:f>
        <x:v>1100</x:v>
      </x:c>
      <x:c r="R11" s="17" t="n">
        <x:f>0</x:f>
        <x:v>0</x:v>
      </x:c>
      <x:c r="S11" s="17" t="n">
        <x:f>H11-SUM(I11:R11)</x:f>
        <x:v>-1775.7739332760748</x:v>
      </x:c>
      <x:c r="T11" s="17" t="n">
        <x:f>SUM(X6:X11)/36</x:f>
        <x:v>41.666666666666664</x:v>
      </x:c>
      <x:c r="U11" s="17" t="n">
        <x:f>S11-T11</x:f>
        <x:v>-1817.4405999427415</x:v>
      </x:c>
      <x:c r="V11" s="18" t="n">
        <x:f>MAX(0,U11)*'Ipotesi BP'!B38+MAX(0,U11+N11)*'Ipotesi BP'!B39</x:f>
        <x:v>0</x:v>
      </x:c>
      <x:c r="W11" s="17" t="n">
        <x:f>U11-V11</x:f>
        <x:v>-1817.4405999427415</x:v>
      </x:c>
      <x:c r="X11" s="17" t="n">
        <x:f>0</x:f>
        <x:v>0</x:v>
      </x:c>
      <x:c r="Y11" s="18" t="n">
        <x:f>H11*(1+'Ipotesi BP'!B34)*'Ipotesi BP'!B37/30</x:f>
        <x:v>168.85520780619734</x:v>
      </x:c>
      <x:c r="Z11" s="17" t="n">
        <x:f>MAX(0,-AO11)</x:f>
        <x:v>2873.84118863952</x:v>
      </x:c>
      <x:c r="AA11" s="17" t="n">
        <x:f>MAX(0,AO11)</x:f>
        <x:v>0</x:v>
      </x:c>
      <x:c r="AB11" s="17" t="n">
        <x:f>Y11+Z11-AA11-Y10-Z10+AA10</x:f>
        <x:v>383.63544769158443</x:v>
      </x:c>
      <x:c r="AC11" s="17" t="n">
        <x:f>W11+T11-AB11</x:f>
        <x:v>-2159.409380967659</x:v>
      </x:c>
      <x:c r="AD11" s="17" t="n">
        <x:f>0</x:f>
        <x:v>0</x:v>
      </x:c>
      <x:c r="AE11" s="17" t="n">
        <x:f>0</x:f>
        <x:v>0</x:v>
      </x:c>
      <x:c r="AF11" s="17" t="n">
        <x:f>AF10+AC11-X11+AD11+AE11</x:f>
        <x:v>30077.388834081925</x:v>
      </x:c>
      <x:c r="AG11" s="17" t="n">
        <x:f>AG10+AC11-X11+AD11</x:f>
        <x:v>-9922.611165918071</x:v>
      </x:c>
      <x:c r="AH11" s="17" t="n">
        <x:f>SUM($X$6:X11)-SUM($T$6:T11)</x:f>
        <x:v>1250</x:v>
      </x:c>
      <x:c r="AI11" s="17" t="n">
        <x:f>SUM($W$6:W11)</x:f>
        <x:v>-15629.914769472352</x:v>
      </x:c>
      <x:c r="AJ11" s="17" t="n">
        <x:f>SUM($AD$6:AE11)</x:f>
        <x:v>50000</x:v>
      </x:c>
      <x:c r="AK11" s="17" t="n">
        <x:f>AF11+Y11+Z11+AH11-AA11-AI11-AJ11</x:f>
        <x:v>-7.275957614183426e-12</x:v>
      </x:c>
      <x:c r="AL11" s="18" t="n">
        <x:f>G11*'Ipotesi BP'!B40/60+D11*'Ipotesi BP'!B41/60+'Ipotesi BP'!B44</x:f>
        <x:v>18.420613705599997</x:v>
      </x:c>
      <x:c r="AM11" s="18" t="n">
        <x:f>'Ipotesi BP'!B42+'Ipotesi BP'!B22*'Ipotesi BP'!B43</x:f>
        <x:v>40</x:v>
      </x:c>
      <x:c r="AN11" s="17" t="n">
        <x:f>MAX(0,AL11-AM11)</x:f>
        <x:v>0</x:v>
      </x:c>
      <x:c r="AO11" s="18" t="n">
        <x:f>AO10-MAX(0,AO10)+(H11-I11-G11*'Ipotesi BP'!B19-L11-M11-P11-Q11+'Ipotesi BP'!B27/12-X11)*'Ipotesi BP'!B34</x:f>
        <x:v>-2873.84118863952</x:v>
      </x:c>
    </x:row>
    <x:row r="12" ht="25" customHeight="1">
      <x:c r="A12" s="17" t="n">
        <x:f>7</x:f>
        <x:v>7</x:v>
      </x:c>
      <x:c r="B12" s="26" t="n">
        <x:f>2027</x:f>
        <x:v>2027</x:v>
      </x:c>
      <x:c r="C12" s="27" t="n">
        <x:f>F11</x:f>
        <x:v>28.539404784</x:v>
      </x:c>
      <x:c r="D12" s="28" t="n">
        <x:f>('Ipotesi BP'!B9/'Ipotesi BP'!B10*'Ipotesi BP'!B11+'Ipotesi BP'!B13+'Ipotesi BP'!B15+'Ipotesi BP'!B17)/12*'Ipotesi BP'!B45</x:f>
        <x:v>5</x:v>
      </x:c>
      <x:c r="E12" s="28" t="n">
        <x:f>C12*'Ipotesi BP'!B8</x:f>
        <x:v>0.57078809568</x:v>
      </x:c>
      <x:c r="F12" s="27" t="n">
        <x:f>C12+D12-E12</x:f>
        <x:v>32.96861668832</x:v>
      </x:c>
      <x:c r="G12" s="27" t="n">
        <x:f>(C12+F12)/2</x:f>
        <x:v>30.754010736159998</x:v>
      </x:c>
      <x:c r="H12" s="18" t="n">
        <x:f>G12*'Ipotesi BP'!B6</x:f>
        <x:v>2429.56684815664</x:v>
      </x:c>
      <x:c r="I12" s="18" t="n">
        <x:f>G12*'Ipotesi BP'!B7</x:f>
        <x:v>1537.700536808</x:v>
      </x:c>
      <x:c r="J12" s="18" t="n">
        <x:f>G12*('Ipotesi BP'!B6*(1+'Ipotesi BP'!B34)*'Ipotesi BP'!B35+'Ipotesi BP'!B36)</x:f>
        <x:v>52.14957600530651</x:v>
      </x:c>
      <x:c r="K12" s="18" t="n">
        <x:f>G12*'Ipotesi BP'!B19+H12*'Ipotesi BP'!B20</x:f>
        <x:v>85.80368995388639</x:v>
      </x:c>
      <x:c r="L12" s="18" t="n">
        <x:f>D12*'Ipotesi BP'!B18</x:f>
        <x:v>120</x:v>
      </x:c>
      <x:c r="M12" s="18" t="n">
        <x:f>('Ipotesi BP'!B9+'Ipotesi BP'!B12+'Ipotesi BP'!B14+'Ipotesi BP'!B16)/12</x:f>
        <x:v>700</x:v>
      </x:c>
      <x:c r="N12" s="18" t="n">
        <x:f>'Ipotesi BP'!B21/12</x:f>
        <x:v>0</x:v>
      </x:c>
      <x:c r="O12" s="18" t="n">
        <x:f>'Ipotesi BP'!B22*'Ipotesi BP'!B23/12</x:f>
        <x:v>0</x:v>
      </x:c>
      <x:c r="P12" s="18" t="n">
        <x:f>'Ipotesi BP'!B24/12</x:f>
        <x:v>500</x:v>
      </x:c>
      <x:c r="Q12" s="18" t="n">
        <x:f>SUM('Ipotesi BP'!B25:B29)/12</x:f>
        <x:v>1100</x:v>
      </x:c>
      <x:c r="R12" s="17" t="n">
        <x:f>0</x:f>
        <x:v>0</x:v>
      </x:c>
      <x:c r="S12" s="17" t="n">
        <x:f>H12-SUM(I12:R12)</x:f>
        <x:v>-1666.0869546105528</x:v>
      </x:c>
      <x:c r="T12" s="17" t="n">
        <x:f>SUM(X6:X12)/36</x:f>
        <x:v>41.666666666666664</x:v>
      </x:c>
      <x:c r="U12" s="17" t="n">
        <x:f>S12-T12</x:f>
        <x:v>-1707.7536212772195</x:v>
      </x:c>
      <x:c r="V12" s="18" t="n">
        <x:f>MAX(0,U12)*'Ipotesi BP'!B38+MAX(0,U12+N12)*'Ipotesi BP'!B39</x:f>
        <x:v>0</x:v>
      </x:c>
      <x:c r="W12" s="17" t="n">
        <x:f>U12-V12</x:f>
        <x:v>-1707.7536212772195</x:v>
      </x:c>
      <x:c r="X12" s="17" t="n">
        <x:f>0</x:f>
        <x:v>0</x:v>
      </x:c>
      <x:c r="Y12" s="18" t="n">
        <x:f>H12*(1+'Ipotesi BP'!B34)*'Ipotesi BP'!B37/30</x:f>
        <x:v>197.60477031674006</x:v>
      </x:c>
      <x:c r="Z12" s="17" t="n">
        <x:f>MAX(0,-AO12)</x:f>
        <x:v>3201.5623648667297</x:v>
      </x:c>
      <x:c r="AA12" s="17" t="n">
        <x:f>MAX(0,AO12)</x:f>
        <x:v>0</x:v>
      </x:c>
      <x:c r="AB12" s="17" t="n">
        <x:f>Y12+Z12-AA12-Y11-Z11+AA11</x:f>
        <x:v>356.4707387377521</x:v>
      </x:c>
      <x:c r="AC12" s="17" t="n">
        <x:f>W12+T12-AB12</x:f>
        <x:v>-2022.5576933483048</x:v>
      </x:c>
      <x:c r="AD12" s="17" t="n">
        <x:f>0</x:f>
        <x:v>0</x:v>
      </x:c>
      <x:c r="AE12" s="17" t="n">
        <x:f>0</x:f>
        <x:v>0</x:v>
      </x:c>
      <x:c r="AF12" s="17" t="n">
        <x:f>AF11+AC12-X12+AD12+AE12</x:f>
        <x:v>28054.83114073362</x:v>
      </x:c>
      <x:c r="AG12" s="17" t="n">
        <x:f>AG11+AC12-X12+AD12</x:f>
        <x:v>-11945.168859266376</x:v>
      </x:c>
      <x:c r="AH12" s="17" t="n">
        <x:f>SUM($X$6:X12)-SUM($T$6:T12)</x:f>
        <x:v>1208.3333333333335</x:v>
      </x:c>
      <x:c r="AI12" s="17" t="n">
        <x:f>SUM($W$6:W12)</x:f>
        <x:v>-17337.66839074957</x:v>
      </x:c>
      <x:c r="AJ12" s="17" t="n">
        <x:f>SUM($AD$6:AE12)</x:f>
        <x:v>50000</x:v>
      </x:c>
      <x:c r="AK12" s="17" t="n">
        <x:f>AF12+Y12+Z12+AH12-AA12-AI12-AJ12</x:f>
        <x:v>-7.275957614183426e-12</x:v>
      </x:c>
      <x:c r="AL12" s="18" t="n">
        <x:f>G12*'Ipotesi BP'!B40/60+D12*'Ipotesi BP'!B41/60+'Ipotesi BP'!B44</x:f>
        <x:v>19.017201431487997</x:v>
      </x:c>
      <x:c r="AM12" s="18" t="n">
        <x:f>'Ipotesi BP'!B42+'Ipotesi BP'!B22*'Ipotesi BP'!B43</x:f>
        <x:v>40</x:v>
      </x:c>
      <x:c r="AN12" s="17" t="n">
        <x:f>MAX(0,AL12-AM12)</x:f>
        <x:v>0</x:v>
      </x:c>
      <x:c r="AO12" s="18" t="n">
        <x:f>AO11-MAX(0,AO11)+(H12-I12-G12*'Ipotesi BP'!B19-L12-M12-P12-Q12+'Ipotesi BP'!B27/12-X12)*'Ipotesi BP'!B34</x:f>
        <x:v>-3201.5623648667297</x:v>
      </x:c>
    </x:row>
    <x:row r="13" ht="25" customHeight="1">
      <x:c r="A13" s="17" t="n">
        <x:f>8</x:f>
        <x:v>8</x:v>
      </x:c>
      <x:c r="B13" s="26" t="n">
        <x:f>2027</x:f>
        <x:v>2027</x:v>
      </x:c>
      <x:c r="C13" s="27" t="n">
        <x:f>F12</x:f>
        <x:v>32.96861668832</x:v>
      </x:c>
      <x:c r="D13" s="28" t="n">
        <x:f>('Ipotesi BP'!B9/'Ipotesi BP'!B10*'Ipotesi BP'!B11+'Ipotesi BP'!B13+'Ipotesi BP'!B15+'Ipotesi BP'!B17)/12*'Ipotesi BP'!B45</x:f>
        <x:v>5</x:v>
      </x:c>
      <x:c r="E13" s="28" t="n">
        <x:f>C13*'Ipotesi BP'!B8</x:f>
        <x:v>0.6593723337663999</x:v>
      </x:c>
      <x:c r="F13" s="27" t="n">
        <x:f>C13+D13-E13</x:f>
        <x:v>37.3092443545536</x:v>
      </x:c>
      <x:c r="G13" s="27" t="n">
        <x:f>(C13+F13)/2</x:f>
        <x:v>35.1389305214368</x:v>
      </x:c>
      <x:c r="H13" s="18" t="n">
        <x:f>G13*'Ipotesi BP'!B6</x:f>
        <x:v>2775.975511193507</x:v>
      </x:c>
      <x:c r="I13" s="18" t="n">
        <x:f>G13*'Ipotesi BP'!B7</x:f>
        <x:v>1756.9465260718398</x:v>
      </x:c>
      <x:c r="J13" s="18" t="n">
        <x:f>G13*('Ipotesi BP'!B6*(1+'Ipotesi BP'!B34)*'Ipotesi BP'!B35+'Ipotesi BP'!B36)</x:f>
        <x:v>59.585084485200376</x:v>
      </x:c>
      <x:c r="K13" s="18" t="n">
        <x:f>G13*'Ipotesi BP'!B19+H13*'Ipotesi BP'!B20</x:f>
        <x:v>98.03761615480866</x:v>
      </x:c>
      <x:c r="L13" s="18" t="n">
        <x:f>D13*'Ipotesi BP'!B18</x:f>
        <x:v>120</x:v>
      </x:c>
      <x:c r="M13" s="18" t="n">
        <x:f>('Ipotesi BP'!B9+'Ipotesi BP'!B12+'Ipotesi BP'!B14+'Ipotesi BP'!B16)/12</x:f>
        <x:v>700</x:v>
      </x:c>
      <x:c r="N13" s="18" t="n">
        <x:f>'Ipotesi BP'!B21/12</x:f>
        <x:v>0</x:v>
      </x:c>
      <x:c r="O13" s="18" t="n">
        <x:f>'Ipotesi BP'!B22*'Ipotesi BP'!B23/12</x:f>
        <x:v>0</x:v>
      </x:c>
      <x:c r="P13" s="18" t="n">
        <x:f>'Ipotesi BP'!B24/12</x:f>
        <x:v>500</x:v>
      </x:c>
      <x:c r="Q13" s="18" t="n">
        <x:f>SUM('Ipotesi BP'!B25:B29)/12</x:f>
        <x:v>1100</x:v>
      </x:c>
      <x:c r="R13" s="17" t="n">
        <x:f>0</x:f>
        <x:v>0</x:v>
      </x:c>
      <x:c r="S13" s="17" t="n">
        <x:f>H13-SUM(I13:R13)</x:f>
        <x:v>-1558.5937155183415</x:v>
      </x:c>
      <x:c r="T13" s="17" t="n">
        <x:f>SUM(X6:X13)/36</x:f>
        <x:v>41.666666666666664</x:v>
      </x:c>
      <x:c r="U13" s="17" t="n">
        <x:f>S13-T13</x:f>
        <x:v>-1600.2603821850082</x:v>
      </x:c>
      <x:c r="V13" s="18" t="n">
        <x:f>MAX(0,U13)*'Ipotesi BP'!B38+MAX(0,U13+N13)*'Ipotesi BP'!B39</x:f>
        <x:v>0</x:v>
      </x:c>
      <x:c r="W13" s="17" t="n">
        <x:f>U13-V13</x:f>
        <x:v>-1600.2603821850082</x:v>
      </x:c>
      <x:c r="X13" s="17" t="n">
        <x:f>0</x:f>
        <x:v>0</x:v>
      </x:c>
      <x:c r="Y13" s="18" t="n">
        <x:f>H13*(1+'Ipotesi BP'!B34)*'Ipotesi BP'!B37/30</x:f>
        <x:v>225.7793415770719</x:v>
      </x:c>
      <x:c r="Z13" s="17" t="n">
        <x:f>MAX(0,-AO13)</x:f>
        <x:v>3503.237117569395</x:v>
      </x:c>
      <x:c r="AA13" s="17" t="n">
        <x:f>MAX(0,AO13)</x:f>
        <x:v>0</x:v>
      </x:c>
      <x:c r="AB13" s="17" t="n">
        <x:f>Y13+Z13-AA13-Y12-Z12+AA12</x:f>
        <x:v>329.84932396299746</x:v>
      </x:c>
      <x:c r="AC13" s="17" t="n">
        <x:f>W13+T13-AB13</x:f>
        <x:v>-1888.443039481339</x:v>
      </x:c>
      <x:c r="AD13" s="17" t="n">
        <x:f>0</x:f>
        <x:v>0</x:v>
      </x:c>
      <x:c r="AE13" s="17" t="n">
        <x:f>0</x:f>
        <x:v>0</x:v>
      </x:c>
      <x:c r="AF13" s="17" t="n">
        <x:f>AF12+AC13-X13+AD13+AE13</x:f>
        <x:v>26166.38810125228</x:v>
      </x:c>
      <x:c r="AG13" s="17" t="n">
        <x:f>AG12+AC13-X13+AD13</x:f>
        <x:v>-13833.611898747715</x:v>
      </x:c>
      <x:c r="AH13" s="17" t="n">
        <x:f>SUM($X$6:X13)-SUM($T$6:T13)</x:f>
        <x:v>1166.6666666666667</x:v>
      </x:c>
      <x:c r="AI13" s="17" t="n">
        <x:f>SUM($W$6:W13)</x:f>
        <x:v>-18937.92877293458</x:v>
      </x:c>
      <x:c r="AJ13" s="17" t="n">
        <x:f>SUM($AD$6:AE13)</x:f>
        <x:v>50000</x:v>
      </x:c>
      <x:c r="AK13" s="17" t="n">
        <x:f>AF13+Y13+Z13+AH13-AA13-AI13-AJ13</x:f>
        <x:v>0</x:v>
      </x:c>
      <x:c r="AL13" s="18" t="n">
        <x:f>G13*'Ipotesi BP'!B40/60+D13*'Ipotesi BP'!B41/60+'Ipotesi BP'!B44</x:f>
        <x:v>19.60185740285824</x:v>
      </x:c>
      <x:c r="AM13" s="18" t="n">
        <x:f>'Ipotesi BP'!B42+'Ipotesi BP'!B22*'Ipotesi BP'!B43</x:f>
        <x:v>40</x:v>
      </x:c>
      <x:c r="AN13" s="17" t="n">
        <x:f>MAX(0,AL13-AM13)</x:f>
        <x:v>0</x:v>
      </x:c>
      <x:c r="AO13" s="18" t="n">
        <x:f>AO12-MAX(0,AO12)+(H13-I13-G13*'Ipotesi BP'!B19-L13-M13-P13-Q13+'Ipotesi BP'!B27/12-X13)*'Ipotesi BP'!B34</x:f>
        <x:v>-3503.237117569395</x:v>
      </x:c>
    </x:row>
    <x:row r="14" ht="25" customHeight="1">
      <x:c r="A14" s="17" t="n">
        <x:f>9</x:f>
        <x:v>9</x:v>
      </x:c>
      <x:c r="B14" s="26" t="n">
        <x:f>2027</x:f>
        <x:v>2027</x:v>
      </x:c>
      <x:c r="C14" s="27" t="n">
        <x:f>F13</x:f>
        <x:v>37.3092443545536</x:v>
      </x:c>
      <x:c r="D14" s="28" t="n">
        <x:f>('Ipotesi BP'!B9/'Ipotesi BP'!B10*'Ipotesi BP'!B11+'Ipotesi BP'!B13+'Ipotesi BP'!B15+'Ipotesi BP'!B17)/12*'Ipotesi BP'!B45</x:f>
        <x:v>5</x:v>
      </x:c>
      <x:c r="E14" s="28" t="n">
        <x:f>C14*'Ipotesi BP'!B8</x:f>
        <x:v>0.746184887091072</x:v>
      </x:c>
      <x:c r="F14" s="27" t="n">
        <x:f>C14+D14-E14</x:f>
        <x:v>41.56305946746253</x:v>
      </x:c>
      <x:c r="G14" s="27" t="n">
        <x:f>(C14+F14)/2</x:f>
        <x:v>39.43615191100807</x:v>
      </x:c>
      <x:c r="H14" s="18" t="n">
        <x:f>G14*'Ipotesi BP'!B6</x:f>
        <x:v>3115.4560009696374</x:v>
      </x:c>
      <x:c r="I14" s="18" t="n">
        <x:f>G14*'Ipotesi BP'!B7</x:f>
        <x:v>1971.8075955504034</x:v>
      </x:c>
      <x:c r="J14" s="18" t="n">
        <x:f>G14*('Ipotesi BP'!B6*(1+'Ipotesi BP'!B34)*'Ipotesi BP'!B35+'Ipotesi BP'!B36)</x:f>
        <x:v>66.87188279549638</x:v>
      </x:c>
      <x:c r="K14" s="18" t="n">
        <x:f>G14*'Ipotesi BP'!B19+H14*'Ipotesi BP'!B20</x:f>
        <x:v>110.02686383171252</x:v>
      </x:c>
      <x:c r="L14" s="18" t="n">
        <x:f>D14*'Ipotesi BP'!B18</x:f>
        <x:v>120</x:v>
      </x:c>
      <x:c r="M14" s="18" t="n">
        <x:f>('Ipotesi BP'!B9+'Ipotesi BP'!B12+'Ipotesi BP'!B14+'Ipotesi BP'!B16)/12</x:f>
        <x:v>700</x:v>
      </x:c>
      <x:c r="N14" s="18" t="n">
        <x:f>'Ipotesi BP'!B21/12</x:f>
        <x:v>0</x:v>
      </x:c>
      <x:c r="O14" s="18" t="n">
        <x:f>'Ipotesi BP'!B22*'Ipotesi BP'!B23/12</x:f>
        <x:v>0</x:v>
      </x:c>
      <x:c r="P14" s="18" t="n">
        <x:f>'Ipotesi BP'!B24/12</x:f>
        <x:v>500</x:v>
      </x:c>
      <x:c r="Q14" s="18" t="n">
        <x:f>SUM('Ipotesi BP'!B25:B29)/12</x:f>
        <x:v>1100</x:v>
      </x:c>
      <x:c r="R14" s="17" t="n">
        <x:f>0</x:f>
        <x:v>0</x:v>
      </x:c>
      <x:c r="S14" s="17" t="n">
        <x:f>H14-SUM(I14:R14)</x:f>
        <x:v>-1453.2503412079755</x:v>
      </x:c>
      <x:c r="T14" s="17" t="n">
        <x:f>SUM(X6:X14)/36</x:f>
        <x:v>41.666666666666664</x:v>
      </x:c>
      <x:c r="U14" s="17" t="n">
        <x:f>S14-T14</x:f>
        <x:v>-1494.9170078746422</x:v>
      </x:c>
      <x:c r="V14" s="18" t="n">
        <x:f>MAX(0,U14)*'Ipotesi BP'!B38+MAX(0,U14+N14)*'Ipotesi BP'!B39</x:f>
        <x:v>0</x:v>
      </x:c>
      <x:c r="W14" s="17" t="n">
        <x:f>U14-V14</x:f>
        <x:v>-1494.9170078746422</x:v>
      </x:c>
      <x:c r="X14" s="17" t="n">
        <x:f>0</x:f>
        <x:v>0</x:v>
      </x:c>
      <x:c r="Y14" s="18" t="n">
        <x:f>H14*(1+'Ipotesi BP'!B34)*'Ipotesi BP'!B37/30</x:f>
        <x:v>253.39042141219718</x:v>
      </x:c>
      <x:c r="Z14" s="17" t="n">
        <x:f>MAX(0,-AO14)</x:f>
        <x:v>3779.3863752180073</x:v>
      </x:c>
      <x:c r="AA14" s="17" t="n">
        <x:f>MAX(0,AO14)</x:f>
        <x:v>0</x:v>
      </x:c>
      <x:c r="AB14" s="17" t="n">
        <x:f>Y14+Z14-AA14-Y13-Z13+AA13</x:f>
        <x:v>303.7603374837372</x:v>
      </x:c>
      <x:c r="AC14" s="17" t="n">
        <x:f>W14+T14-AB14</x:f>
        <x:v>-1757.0106786917127</x:v>
      </x:c>
      <x:c r="AD14" s="17" t="n">
        <x:f>0</x:f>
        <x:v>0</x:v>
      </x:c>
      <x:c r="AE14" s="17" t="n">
        <x:f>0</x:f>
        <x:v>0</x:v>
      </x:c>
      <x:c r="AF14" s="17" t="n">
        <x:f>AF13+AC14-X14+AD14+AE14</x:f>
        <x:v>24409.377422560567</x:v>
      </x:c>
      <x:c r="AG14" s="17" t="n">
        <x:f>AG13+AC14-X14+AD14</x:f>
        <x:v>-15590.622577439428</x:v>
      </x:c>
      <x:c r="AH14" s="17" t="n">
        <x:f>SUM($X$6:X14)-SUM($T$6:T14)</x:f>
        <x:v>1125</x:v>
      </x:c>
      <x:c r="AI14" s="17" t="n">
        <x:f>SUM($W$6:W14)</x:f>
        <x:v>-20432.845780809224</x:v>
      </x:c>
      <x:c r="AJ14" s="17" t="n">
        <x:f>SUM($AD$6:AE14)</x:f>
        <x:v>50000</x:v>
      </x:c>
      <x:c r="AK14" s="17" t="n">
        <x:f>AF14+Y14+Z14+AH14-AA14-AI14-AJ14</x:f>
        <x:v>0</x:v>
      </x:c>
      <x:c r="AL14" s="18" t="n">
        <x:f>G14*'Ipotesi BP'!B40/60+D14*'Ipotesi BP'!B41/60+'Ipotesi BP'!B44</x:f>
        <x:v>20.174820254801077</x:v>
      </x:c>
      <x:c r="AM14" s="18" t="n">
        <x:f>'Ipotesi BP'!B42+'Ipotesi BP'!B22*'Ipotesi BP'!B43</x:f>
        <x:v>40</x:v>
      </x:c>
      <x:c r="AN14" s="17" t="n">
        <x:f>MAX(0,AL14-AM14)</x:f>
        <x:v>0</x:v>
      </x:c>
      <x:c r="AO14" s="18" t="n">
        <x:f>AO13-MAX(0,AO13)+(H14-I14-G14*'Ipotesi BP'!B19-L14-M14-P14-Q14+'Ipotesi BP'!B27/12-X14)*'Ipotesi BP'!B34</x:f>
        <x:v>-3779.3863752180073</x:v>
      </x:c>
    </x:row>
    <x:row r="15" ht="25" customHeight="1">
      <x:c r="A15" s="17" t="n">
        <x:f>10</x:f>
        <x:v>10</x:v>
      </x:c>
      <x:c r="B15" s="26" t="n">
        <x:f>2027</x:f>
        <x:v>2027</x:v>
      </x:c>
      <x:c r="C15" s="27" t="n">
        <x:f>F14</x:f>
        <x:v>41.56305946746253</x:v>
      </x:c>
      <x:c r="D15" s="28" t="n">
        <x:f>('Ipotesi BP'!B9/'Ipotesi BP'!B10*'Ipotesi BP'!B11+'Ipotesi BP'!B13+'Ipotesi BP'!B15+'Ipotesi BP'!B17)/12*'Ipotesi BP'!B45</x:f>
        <x:v>5</x:v>
      </x:c>
      <x:c r="E15" s="28" t="n">
        <x:f>C15*'Ipotesi BP'!B8</x:f>
        <x:v>0.8312611893492506</x:v>
      </x:c>
      <x:c r="F15" s="27" t="n">
        <x:f>C15+D15-E15</x:f>
        <x:v>45.73179827811328</x:v>
      </x:c>
      <x:c r="G15" s="27" t="n">
        <x:f>(C15+F15)/2</x:f>
        <x:v>43.647428872787906</x:v>
      </x:c>
      <x:c r="H15" s="18" t="n">
        <x:f>G15*'Ipotesi BP'!B6</x:f>
        <x:v>3448.1468809502444</x:v>
      </x:c>
      <x:c r="I15" s="18" t="n">
        <x:f>G15*'Ipotesi BP'!B7</x:f>
        <x:v>2182.3714436393952</x:v>
      </x:c>
      <x:c r="J15" s="18" t="n">
        <x:f>G15*('Ipotesi BP'!B6*(1+'Ipotesi BP'!B34)*'Ipotesi BP'!B35+'Ipotesi BP'!B36)</x:f>
        <x:v>74.01294513958645</x:v>
      </x:c>
      <x:c r="K15" s="18" t="n">
        <x:f>G15*'Ipotesi BP'!B19+H15*'Ipotesi BP'!B20</x:f>
        <x:v>121.77632655507826</x:v>
      </x:c>
      <x:c r="L15" s="18" t="n">
        <x:f>D15*'Ipotesi BP'!B18</x:f>
        <x:v>120</x:v>
      </x:c>
      <x:c r="M15" s="18" t="n">
        <x:f>('Ipotesi BP'!B9+'Ipotesi BP'!B12+'Ipotesi BP'!B14+'Ipotesi BP'!B16)/12</x:f>
        <x:v>700</x:v>
      </x:c>
      <x:c r="N15" s="18" t="n">
        <x:f>'Ipotesi BP'!B21/12</x:f>
        <x:v>0</x:v>
      </x:c>
      <x:c r="O15" s="18" t="n">
        <x:f>'Ipotesi BP'!B22*'Ipotesi BP'!B23/12</x:f>
        <x:v>0</x:v>
      </x:c>
      <x:c r="P15" s="18" t="n">
        <x:f>'Ipotesi BP'!B24/12</x:f>
        <x:v>500</x:v>
      </x:c>
      <x:c r="Q15" s="18" t="n">
        <x:f>SUM('Ipotesi BP'!B25:B29)/12</x:f>
        <x:v>1100</x:v>
      </x:c>
      <x:c r="R15" s="17" t="n">
        <x:f>0</x:f>
        <x:v>0</x:v>
      </x:c>
      <x:c r="S15" s="17" t="n">
        <x:f>H15-SUM(I15:R15)</x:f>
        <x:v>-1350.0138343838157</x:v>
      </x:c>
      <x:c r="T15" s="17" t="n">
        <x:f>SUM(X6:X15)/36</x:f>
        <x:v>41.666666666666664</x:v>
      </x:c>
      <x:c r="U15" s="17" t="n">
        <x:f>S15-T15</x:f>
        <x:v>-1391.6805010504825</x:v>
      </x:c>
      <x:c r="V15" s="18" t="n">
        <x:f>MAX(0,U15)*'Ipotesi BP'!B38+MAX(0,U15+N15)*'Ipotesi BP'!B39</x:f>
        <x:v>0</x:v>
      </x:c>
      <x:c r="W15" s="17" t="n">
        <x:f>U15-V15</x:f>
        <x:v>-1391.6805010504825</x:v>
      </x:c>
      <x:c r="X15" s="17" t="n">
        <x:f>0</x:f>
        <x:v>0</x:v>
      </x:c>
      <x:c r="Y15" s="18" t="n">
        <x:f>H15*(1+'Ipotesi BP'!B34)*'Ipotesi BP'!B37/30</x:f>
        <x:v>280.44927965061987</x:v>
      </x:c>
      <x:c r="Z15" s="17" t="n">
        <x:f>MAX(0,-AO15)</x:f>
        <x:v>4030.520647713647</x:v>
      </x:c>
      <x:c r="AA15" s="17" t="n">
        <x:f>MAX(0,AO15)</x:f>
        <x:v>0</x:v>
      </x:c>
      <x:c r="AB15" s="17" t="n">
        <x:f>Y15+Z15-AA15-Y14-Z14+AA14</x:f>
        <x:v>278.19313073406283</x:v>
      </x:c>
      <x:c r="AC15" s="17" t="n">
        <x:f>W15+T15-AB15</x:f>
        <x:v>-1628.2069651178786</x:v>
      </x:c>
      <x:c r="AD15" s="17" t="n">
        <x:f>0</x:f>
        <x:v>0</x:v>
      </x:c>
      <x:c r="AE15" s="17" t="n">
        <x:f>0</x:f>
        <x:v>0</x:v>
      </x:c>
      <x:c r="AF15" s="17" t="n">
        <x:f>AF14+AC15-X15+AD15+AE15</x:f>
        <x:v>22781.170457442688</x:v>
      </x:c>
      <x:c r="AG15" s="17" t="n">
        <x:f>AG14+AC15-X15+AD15</x:f>
        <x:v>-17218.829542557305</x:v>
      </x:c>
      <x:c r="AH15" s="17" t="n">
        <x:f>SUM($X$6:X15)-SUM($T$6:T15)</x:f>
        <x:v>1083.3333333333333</x:v>
      </x:c>
      <x:c r="AI15" s="17" t="n">
        <x:f>SUM($W$6:W15)</x:f>
        <x:v>-21824.526281859708</x:v>
      </x:c>
      <x:c r="AJ15" s="17" t="n">
        <x:f>SUM($AD$6:AE15)</x:f>
        <x:v>50000</x:v>
      </x:c>
      <x:c r="AK15" s="17" t="n">
        <x:f>AF15+Y15+Z15+AH15-AA15-AI15-AJ15</x:f>
        <x:v>-7.275957614183426e-12</x:v>
      </x:c>
      <x:c r="AL15" s="18" t="n">
        <x:f>G15*'Ipotesi BP'!B40/60+D15*'Ipotesi BP'!B41/60+'Ipotesi BP'!B44</x:f>
        <x:v>20.73632384970505</x:v>
      </x:c>
      <x:c r="AM15" s="18" t="n">
        <x:f>'Ipotesi BP'!B42+'Ipotesi BP'!B22*'Ipotesi BP'!B43</x:f>
        <x:v>40</x:v>
      </x:c>
      <x:c r="AN15" s="17" t="n">
        <x:f>MAX(0,AL15-AM15)</x:f>
        <x:v>0</x:v>
      </x:c>
      <x:c r="AO15" s="18" t="n">
        <x:f>AO14-MAX(0,AO14)+(H15-I15-G15*'Ipotesi BP'!B19-L15-M15-P15-Q15+'Ipotesi BP'!B27/12-X15)*'Ipotesi BP'!B34</x:f>
        <x:v>-4030.520647713647</x:v>
      </x:c>
    </x:row>
    <x:row r="16" ht="25" customHeight="1">
      <x:c r="A16" s="17" t="n">
        <x:f>11</x:f>
        <x:v>11</x:v>
      </x:c>
      <x:c r="B16" s="26" t="n">
        <x:f>2027</x:f>
        <x:v>2027</x:v>
      </x:c>
      <x:c r="C16" s="27" t="n">
        <x:f>F15</x:f>
        <x:v>45.73179827811328</x:v>
      </x:c>
      <x:c r="D16" s="28" t="n">
        <x:f>('Ipotesi BP'!B9/'Ipotesi BP'!B10*'Ipotesi BP'!B11+'Ipotesi BP'!B13+'Ipotesi BP'!B15+'Ipotesi BP'!B17)/12*'Ipotesi BP'!B45</x:f>
        <x:v>5</x:v>
      </x:c>
      <x:c r="E16" s="28" t="n">
        <x:f>C16*'Ipotesi BP'!B8</x:f>
        <x:v>0.9146359655622657</x:v>
      </x:c>
      <x:c r="F16" s="27" t="n">
        <x:f>C16+D16-E16</x:f>
        <x:v>49.81716231255101</x:v>
      </x:c>
      <x:c r="G16" s="27" t="n">
        <x:f>(C16+F16)/2</x:f>
        <x:v>47.77448029533215</x:v>
      </x:c>
      <x:c r="H16" s="18" t="n">
        <x:f>G16*'Ipotesi BP'!B6</x:f>
        <x:v>3774.18394333124</x:v>
      </x:c>
      <x:c r="I16" s="18" t="n">
        <x:f>G16*'Ipotesi BP'!B7</x:f>
        <x:v>2388.7240147666075</x:v>
      </x:c>
      <x:c r="J16" s="18" t="n">
        <x:f>G16*('Ipotesi BP'!B6*(1+'Ipotesi BP'!B34)*'Ipotesi BP'!B35+'Ipotesi BP'!B36)</x:f>
        <x:v>81.01118623679471</x:v>
      </x:c>
      <x:c r="K16" s="18" t="n">
        <x:f>G16*'Ipotesi BP'!B19+H16*'Ipotesi BP'!B20</x:f>
        <x:v>133.2908000239767</x:v>
      </x:c>
      <x:c r="L16" s="18" t="n">
        <x:f>D16*'Ipotesi BP'!B18</x:f>
        <x:v>120</x:v>
      </x:c>
      <x:c r="M16" s="18" t="n">
        <x:f>('Ipotesi BP'!B9+'Ipotesi BP'!B12+'Ipotesi BP'!B14+'Ipotesi BP'!B16)/12</x:f>
        <x:v>700</x:v>
      </x:c>
      <x:c r="N16" s="18" t="n">
        <x:f>'Ipotesi BP'!B21/12</x:f>
        <x:v>0</x:v>
      </x:c>
      <x:c r="O16" s="18" t="n">
        <x:f>'Ipotesi BP'!B22*'Ipotesi BP'!B23/12</x:f>
        <x:v>0</x:v>
      </x:c>
      <x:c r="P16" s="18" t="n">
        <x:f>'Ipotesi BP'!B24/12</x:f>
        <x:v>500</x:v>
      </x:c>
      <x:c r="Q16" s="18" t="n">
        <x:f>SUM('Ipotesi BP'!B25:B29)/12</x:f>
        <x:v>1100</x:v>
      </x:c>
      <x:c r="R16" s="17" t="n">
        <x:f>0</x:f>
        <x:v>0</x:v>
      </x:c>
      <x:c r="S16" s="17" t="n">
        <x:f>H16-SUM(I16:R16)</x:f>
        <x:v>-1248.8420576961398</x:v>
      </x:c>
      <x:c r="T16" s="17" t="n">
        <x:f>SUM(X6:X16)/36</x:f>
        <x:v>41.666666666666664</x:v>
      </x:c>
      <x:c r="U16" s="17" t="n">
        <x:f>S16-T16</x:f>
        <x:v>-1290.5087243628066</x:v>
      </x:c>
      <x:c r="V16" s="18" t="n">
        <x:f>MAX(0,U16)*'Ipotesi BP'!B38+MAX(0,U16+N16)*'Ipotesi BP'!B39</x:f>
        <x:v>0</x:v>
      </x:c>
      <x:c r="W16" s="17" t="n">
        <x:f>U16-V16</x:f>
        <x:v>-1290.5087243628066</x:v>
      </x:c>
      <x:c r="X16" s="17" t="n">
        <x:f>0</x:f>
        <x:v>0</x:v>
      </x:c>
      <x:c r="Y16" s="18" t="n">
        <x:f>H16*(1+'Ipotesi BP'!B34)*'Ipotesi BP'!B37/30</x:f>
        <x:v>306.96696072427414</x:v>
      </x:c>
      <x:c r="Z16" s="17" t="n">
        <x:f>MAX(0,-AO16)</x:f>
        <x:v>4257.140234759374</x:v>
      </x:c>
      <x:c r="AA16" s="17" t="n">
        <x:f>MAX(0,AO16)</x:f>
        <x:v>0</x:v>
      </x:c>
      <x:c r="AB16" s="17" t="n">
        <x:f>Y16+Z16-AA16-Y15-Z15+AA15</x:f>
        <x:v>253.13726811938068</x:v>
      </x:c>
      <x:c r="AC16" s="17" t="n">
        <x:f>W16+T16-AB16</x:f>
        <x:v>-1501.9793258155205</x:v>
      </x:c>
      <x:c r="AD16" s="17" t="n">
        <x:f>0</x:f>
        <x:v>0</x:v>
      </x:c>
      <x:c r="AE16" s="17" t="n">
        <x:f>0</x:f>
        <x:v>0</x:v>
      </x:c>
      <x:c r="AF16" s="17" t="n">
        <x:f>AF15+AC16-X16+AD16+AE16</x:f>
        <x:v>21279.191131627165</x:v>
      </x:c>
      <x:c r="AG16" s="17" t="n">
        <x:f>AG15+AC16-X16+AD16</x:f>
        <x:v>-18720.808868372827</x:v>
      </x:c>
      <x:c r="AH16" s="17" t="n">
        <x:f>SUM($X$6:X16)-SUM($T$6:T16)</x:f>
        <x:v>1041.6666666666665</x:v>
      </x:c>
      <x:c r="AI16" s="17" t="n">
        <x:f>SUM($W$6:W16)</x:f>
        <x:v>-23115.035006222515</x:v>
      </x:c>
      <x:c r="AJ16" s="17" t="n">
        <x:f>SUM($AD$6:AE16)</x:f>
        <x:v>50000</x:v>
      </x:c>
      <x:c r="AK16" s="17" t="n">
        <x:f>AF16+Y16+Z16+AH16-AA16-AI16-AJ16</x:f>
        <x:v>0</x:v>
      </x:c>
      <x:c r="AL16" s="18" t="n">
        <x:f>G16*'Ipotesi BP'!B40/60+D16*'Ipotesi BP'!B41/60+'Ipotesi BP'!B44</x:f>
        <x:v>21.28659737271095</x:v>
      </x:c>
      <x:c r="AM16" s="18" t="n">
        <x:f>'Ipotesi BP'!B42+'Ipotesi BP'!B22*'Ipotesi BP'!B43</x:f>
        <x:v>40</x:v>
      </x:c>
      <x:c r="AN16" s="17" t="n">
        <x:f>MAX(0,AL16-AM16)</x:f>
        <x:v>0</x:v>
      </x:c>
      <x:c r="AO16" s="18" t="n">
        <x:f>AO15-MAX(0,AO15)+(H16-I16-G16*'Ipotesi BP'!B19-L16-M16-P16-Q16+'Ipotesi BP'!B27/12-X16)*'Ipotesi BP'!B34</x:f>
        <x:v>-4257.140234759374</x:v>
      </x:c>
    </x:row>
    <x:row r="17" ht="25" customHeight="1">
      <x:c r="A17" s="17" t="n">
        <x:f>12</x:f>
        <x:v>12</x:v>
      </x:c>
      <x:c r="B17" s="26" t="n">
        <x:f>2027</x:f>
        <x:v>2027</x:v>
      </x:c>
      <x:c r="C17" s="27" t="n">
        <x:f>F16</x:f>
        <x:v>49.81716231255101</x:v>
      </x:c>
      <x:c r="D17" s="28" t="n">
        <x:f>('Ipotesi BP'!B9/'Ipotesi BP'!B10*'Ipotesi BP'!B11+'Ipotesi BP'!B13+'Ipotesi BP'!B15+'Ipotesi BP'!B17)/12*'Ipotesi BP'!B45</x:f>
        <x:v>5</x:v>
      </x:c>
      <x:c r="E17" s="28" t="n">
        <x:f>C17*'Ipotesi BP'!B8</x:f>
        <x:v>0.9963432462510202</x:v>
      </x:c>
      <x:c r="F17" s="27" t="n">
        <x:f>C17+D17-E17</x:f>
        <x:v>53.82081906629999</x:v>
      </x:c>
      <x:c r="G17" s="27" t="n">
        <x:f>(C17+F17)/2</x:f>
        <x:v>51.818990689425505</x:v>
      </x:c>
      <x:c r="H17" s="18" t="n">
        <x:f>G17*'Ipotesi BP'!B6</x:f>
        <x:v>4093.700264464615</x:v>
      </x:c>
      <x:c r="I17" s="18" t="n">
        <x:f>G17*'Ipotesi BP'!B7</x:f>
        <x:v>2590.949534471275</x:v>
      </x:c>
      <x:c r="J17" s="18" t="n">
        <x:f>G17*('Ipotesi BP'!B6*(1+'Ipotesi BP'!B34)*'Ipotesi BP'!B35+'Ipotesi BP'!B36)</x:f>
        <x:v>87.86946251205883</x:v>
      </x:c>
      <x:c r="K17" s="18" t="n">
        <x:f>G17*'Ipotesi BP'!B19+H17*'Ipotesi BP'!B20</x:f>
        <x:v>144.57498402349717</x:v>
      </x:c>
      <x:c r="L17" s="18" t="n">
        <x:f>D17*'Ipotesi BP'!B18</x:f>
        <x:v>120</x:v>
      </x:c>
      <x:c r="M17" s="18" t="n">
        <x:f>('Ipotesi BP'!B9+'Ipotesi BP'!B12+'Ipotesi BP'!B14+'Ipotesi BP'!B16)/12</x:f>
        <x:v>700</x:v>
      </x:c>
      <x:c r="N17" s="18" t="n">
        <x:f>'Ipotesi BP'!B21/12</x:f>
        <x:v>0</x:v>
      </x:c>
      <x:c r="O17" s="18" t="n">
        <x:f>'Ipotesi BP'!B22*'Ipotesi BP'!B23/12</x:f>
        <x:v>0</x:v>
      </x:c>
      <x:c r="P17" s="18" t="n">
        <x:f>'Ipotesi BP'!B24/12</x:f>
        <x:v>500</x:v>
      </x:c>
      <x:c r="Q17" s="18" t="n">
        <x:f>SUM('Ipotesi BP'!B25:B29)/12</x:f>
        <x:v>1100</x:v>
      </x:c>
      <x:c r="R17" s="17" t="n">
        <x:f>0</x:f>
        <x:v>0</x:v>
      </x:c>
      <x:c r="S17" s="17" t="n">
        <x:f>H17-SUM(I17:R17)</x:f>
        <x:v>-1149.6937165422164</x:v>
      </x:c>
      <x:c r="T17" s="17" t="n">
        <x:f>SUM(X6:X17)/36</x:f>
        <x:v>41.666666666666664</x:v>
      </x:c>
      <x:c r="U17" s="17" t="n">
        <x:f>S17-T17</x:f>
        <x:v>-1191.3603832088831</x:v>
      </x:c>
      <x:c r="V17" s="18" t="n">
        <x:f>MAX(0,U17)*'Ipotesi BP'!B38+MAX(0,U17+N17)*'Ipotesi BP'!B39</x:f>
        <x:v>0</x:v>
      </x:c>
      <x:c r="W17" s="17" t="n">
        <x:f>U17-V17</x:f>
        <x:v>-1191.3603832088831</x:v>
      </x:c>
      <x:c r="X17" s="17" t="n">
        <x:f>0</x:f>
        <x:v>0</x:v>
      </x:c>
      <x:c r="Y17" s="18" t="n">
        <x:f>H17*(1+'Ipotesi BP'!B34)*'Ipotesi BP'!B37/30</x:f>
        <x:v>332.95428817645535</x:v>
      </x:c>
      <x:c r="Z17" s="17" t="n">
        <x:f>MAX(0,-AO17)</x:f>
        <x:v>4459.735430064186</x:v>
      </x:c>
      <x:c r="AA17" s="17" t="n">
        <x:f>MAX(0,AO17)</x:f>
        <x:v>0</x:v>
      </x:c>
      <x:c r="AB17" s="17" t="n">
        <x:f>Y17+Z17-AA17-Y16-Z16+AA16</x:f>
        <x:v>228.58252275699397</x:v>
      </x:c>
      <x:c r="AC17" s="17" t="n">
        <x:f>W17+T17-AB17</x:f>
        <x:v>-1378.2762392992104</x:v>
      </x:c>
      <x:c r="AD17" s="17" t="n">
        <x:f>0</x:f>
        <x:v>0</x:v>
      </x:c>
      <x:c r="AE17" s="17" t="n">
        <x:f>0</x:f>
        <x:v>0</x:v>
      </x:c>
      <x:c r="AF17" s="17" t="n">
        <x:f>AF16+AC17-X17+AD17+AE17</x:f>
        <x:v>19900.914892327954</x:v>
      </x:c>
      <x:c r="AG17" s="17" t="n">
        <x:f>AG16+AC17-X17+AD17</x:f>
        <x:v>-20099.08510767204</x:v>
      </x:c>
      <x:c r="AH17" s="17" t="n">
        <x:f>SUM($X$6:X17)-SUM($T$6:T17)</x:f>
        <x:v>1000</x:v>
      </x:c>
      <x:c r="AI17" s="17" t="n">
        <x:f>SUM($W$6:W17)</x:f>
        <x:v>-24306.3953894314</x:v>
      </x:c>
      <x:c r="AJ17" s="17" t="n">
        <x:f>SUM($AD$6:AE17)</x:f>
        <x:v>50000</x:v>
      </x:c>
      <x:c r="AK17" s="17" t="n">
        <x:f>AF17+Y17+Z17+AH17-AA17-AI17-AJ17</x:f>
        <x:v>-7.275957614183426e-12</x:v>
      </x:c>
      <x:c r="AL17" s="18" t="n">
        <x:f>G17*'Ipotesi BP'!B40/60+D17*'Ipotesi BP'!B41/60+'Ipotesi BP'!B44</x:f>
        <x:v>21.825865425256733</x:v>
      </x:c>
      <x:c r="AM17" s="18" t="n">
        <x:f>'Ipotesi BP'!B42+'Ipotesi BP'!B22*'Ipotesi BP'!B43</x:f>
        <x:v>40</x:v>
      </x:c>
      <x:c r="AN17" s="17" t="n">
        <x:f>MAX(0,AL17-AM17)</x:f>
        <x:v>0</x:v>
      </x:c>
      <x:c r="AO17" s="18" t="n">
        <x:f>AO16-MAX(0,AO16)+(H17-I17-G17*'Ipotesi BP'!B19-L17-M17-P17-Q17+'Ipotesi BP'!B27/12-X17)*'Ipotesi BP'!B34</x:f>
        <x:v>-4459.735430064186</x:v>
      </x:c>
    </x:row>
    <x:row r="18" ht="25" customHeight="1">
      <x:c r="A18" s="17" t="n">
        <x:f>13</x:f>
        <x:v>13</x:v>
      </x:c>
      <x:c r="B18" s="26" t="n">
        <x:f>2028</x:f>
        <x:v>2028</x:v>
      </x:c>
      <x:c r="C18" s="27" t="n">
        <x:f>F17</x:f>
        <x:v>53.82081906629999</x:v>
      </x:c>
      <x:c r="D18" s="28" t="n">
        <x:f>('Ipotesi BP'!C9/'Ipotesi BP'!C10*'Ipotesi BP'!C11+'Ipotesi BP'!C13+'Ipotesi BP'!C15+'Ipotesi BP'!C17)/12*'Ipotesi BP'!C45</x:f>
        <x:v>11.75</x:v>
      </x:c>
      <x:c r="E18" s="28" t="n">
        <x:f>C18*'Ipotesi BP'!C8</x:f>
        <x:v>1.076416381326</x:v>
      </x:c>
      <x:c r="F18" s="27" t="n">
        <x:f>C18+D18-E18</x:f>
        <x:v>64.49440268497399</x:v>
      </x:c>
      <x:c r="G18" s="27" t="n">
        <x:f>(C18+F18)/2</x:f>
        <x:v>59.15761087563699</x:v>
      </x:c>
      <x:c r="H18" s="18" t="n">
        <x:f>G18*'Ipotesi BP'!C6</x:f>
        <x:v>4673.451259175322</x:v>
      </x:c>
      <x:c r="I18" s="18" t="n">
        <x:f>G18*'Ipotesi BP'!C7</x:f>
        <x:v>3046.616960095305</x:v>
      </x:c>
      <x:c r="J18" s="18" t="n">
        <x:f>G18*('Ipotesi BP'!C6*(1+'Ipotesi BP'!C34)*'Ipotesi BP'!C35+'Ipotesi BP'!C36)</x:f>
        <x:v>100.31356076181764</x:v>
      </x:c>
      <x:c r="K18" s="18" t="n">
        <x:f>G18*'Ipotesi BP'!C19+H18*'Ipotesi BP'!C20</x:f>
        <x:v>165.0497343430272</x:v>
      </x:c>
      <x:c r="L18" s="18" t="n">
        <x:f>D18*'Ipotesi BP'!C18</x:f>
        <x:v>282</x:v>
      </x:c>
      <x:c r="M18" s="18" t="n">
        <x:f>('Ipotesi BP'!C9+'Ipotesi BP'!C12+'Ipotesi BP'!C14+'Ipotesi BP'!C16)/12</x:f>
        <x:v>1600</x:v>
      </x:c>
      <x:c r="N18" s="18" t="n">
        <x:f>'Ipotesi BP'!C21/12</x:f>
        <x:v>2500</x:v>
      </x:c>
      <x:c r="O18" s="18" t="n">
        <x:f>'Ipotesi BP'!C22*'Ipotesi BP'!C23/12</x:f>
        <x:v>1545</x:v>
      </x:c>
      <x:c r="P18" s="18" t="n">
        <x:f>'Ipotesi BP'!C24/12</x:f>
        <x:v>750</x:v>
      </x:c>
      <x:c r="Q18" s="18" t="n">
        <x:f>SUM('Ipotesi BP'!C25:C29)/12</x:f>
        <x:v>1225</x:v>
      </x:c>
      <x:c r="R18" s="18" t="n">
        <x:f>'Ipotesi BP'!C30</x:f>
        <x:v>0</x:v>
      </x:c>
      <x:c r="S18" s="17" t="n">
        <x:f>H18-SUM(I18:R18)</x:f>
        <x:v>-6540.528996024827</x:v>
      </x:c>
      <x:c r="T18" s="17" t="n">
        <x:f>SUM(X6:X18)/36</x:f>
        <x:v>55.55555555555556</x:v>
      </x:c>
      <x:c r="U18" s="17" t="n">
        <x:f>S18-T18</x:f>
        <x:v>-6596.084551580383</x:v>
      </x:c>
      <x:c r="V18" s="18" t="n">
        <x:f>MAX(0,U18)*'Ipotesi BP'!C38+MAX(0,U18+N18)*'Ipotesi BP'!C39</x:f>
        <x:v>0</x:v>
      </x:c>
      <x:c r="W18" s="17" t="n">
        <x:f>U18-V18</x:f>
        <x:v>-6596.084551580383</x:v>
      </x:c>
      <x:c r="X18" s="18" t="n">
        <x:f>'Ipotesi BP'!C31</x:f>
        <x:v>500</x:v>
      </x:c>
      <x:c r="Y18" s="18" t="n">
        <x:f>H18*(1+'Ipotesi BP'!C34)*'Ipotesi BP'!C37/30</x:f>
        <x:v>380.10736907959284</x:v>
      </x:c>
      <x:c r="Z18" s="17" t="n">
        <x:f>MAX(0,-AO18)</x:f>
        <x:v>5053.401233051863</x:v>
      </x:c>
      <x:c r="AA18" s="17" t="n">
        <x:f>MAX(0,AO18)</x:f>
        <x:v>0</x:v>
      </x:c>
      <x:c r="AB18" s="17" t="n">
        <x:f>Y18+Z18-AA18-Y17-Z17+AA17</x:f>
        <x:v>640.8188838908136</x:v>
      </x:c>
      <x:c r="AC18" s="17" t="n">
        <x:f>W18+T18-AB18</x:f>
        <x:v>-7181.347879915641</x:v>
      </x:c>
      <x:c r="AD18" s="18" t="n">
        <x:f>'Ipotesi BP'!C32</x:f>
        <x:v>0</x:v>
      </x:c>
      <x:c r="AE18" s="18" t="n">
        <x:f>'Ipotesi BP'!C33</x:f>
        <x:v>70000</x:v>
      </x:c>
      <x:c r="AF18" s="17" t="n">
        <x:f>AF17+AC18-X18+AD18+AE18</x:f>
        <x:v>82219.56701241231</x:v>
      </x:c>
      <x:c r="AG18" s="17" t="n">
        <x:f>AG17+AC18-X18+AD18</x:f>
        <x:v>-27780.43298758768</x:v>
      </x:c>
      <x:c r="AH18" s="17" t="n">
        <x:f>SUM($X$6:X18)-SUM($T$6:T18)</x:f>
        <x:v>1444.4444444444443</x:v>
      </x:c>
      <x:c r="AI18" s="17" t="n">
        <x:f>SUM($W$6:W18)</x:f>
        <x:v>-30902.479941011785</x:v>
      </x:c>
      <x:c r="AJ18" s="17" t="n">
        <x:f>SUM($AD$6:AE18)</x:f>
        <x:v>120000</x:v>
      </x:c>
      <x:c r="AK18" s="17" t="n">
        <x:f>AF18+Y18+Z18+AH18-AA18-AI18-AJ18</x:f>
        <x:v>-1.4551915228366852e-11</x:v>
      </x:c>
      <x:c r="AL18" s="18" t="n">
        <x:f>G18*'Ipotesi BP'!C40/60+D18*'Ipotesi BP'!C41/60+'Ipotesi BP'!C44</x:f>
        <x:v>32.7418481167516</x:v>
      </x:c>
      <x:c r="AM18" s="18" t="n">
        <x:f>'Ipotesi BP'!C42+'Ipotesi BP'!C22*'Ipotesi BP'!C43</x:f>
        <x:v>100</x:v>
      </x:c>
      <x:c r="AN18" s="17" t="n">
        <x:f>MAX(0,AL18-AM18)</x:f>
        <x:v>0</x:v>
      </x:c>
      <x:c r="AO18" s="18" t="n">
        <x:f>AO17-MAX(0,AO17)+(H18-I18-G18*'Ipotesi BP'!C19-L18-M18-P18-Q18+'Ipotesi BP'!C27/12-X18)*'Ipotesi BP'!C34</x:f>
        <x:v>-5053.401233051863</x:v>
      </x:c>
    </x:row>
    <x:row r="19" ht="25" customHeight="1">
      <x:c r="A19" s="17" t="n">
        <x:f>14</x:f>
        <x:v>14</x:v>
      </x:c>
      <x:c r="B19" s="26" t="n">
        <x:f>2028</x:f>
        <x:v>2028</x:v>
      </x:c>
      <x:c r="C19" s="27" t="n">
        <x:f>F18</x:f>
        <x:v>64.49440268497399</x:v>
      </x:c>
      <x:c r="D19" s="28" t="n">
        <x:f>('Ipotesi BP'!C9/'Ipotesi BP'!C10*'Ipotesi BP'!C11+'Ipotesi BP'!C13+'Ipotesi BP'!C15+'Ipotesi BP'!C17)/12*'Ipotesi BP'!C45</x:f>
        <x:v>11.75</x:v>
      </x:c>
      <x:c r="E19" s="28" t="n">
        <x:f>C19*'Ipotesi BP'!C8</x:f>
        <x:v>1.28988805369948</x:v>
      </x:c>
      <x:c r="F19" s="27" t="n">
        <x:f>C19+D19-E19</x:f>
        <x:v>74.9545146312745</x:v>
      </x:c>
      <x:c r="G19" s="27" t="n">
        <x:f>(C19+F19)/2</x:f>
        <x:v>69.72445865812425</x:v>
      </x:c>
      <x:c r="H19" s="18" t="n">
        <x:f>G19*'Ipotesi BP'!C6</x:f>
        <x:v>5508.2322339918155</x:v>
      </x:c>
      <x:c r="I19" s="18" t="n">
        <x:f>G19*'Ipotesi BP'!C7</x:f>
        <x:v>3590.809620893399</x:v>
      </x:c>
      <x:c r="J19" s="18" t="n">
        <x:f>G19*('Ipotesi BP'!C6*(1+'Ipotesi BP'!C34)*'Ipotesi BP'!C35+'Ipotesi BP'!C36)</x:f>
        <x:v>118.23176454658129</x:v>
      </x:c>
      <x:c r="K19" s="18" t="n">
        <x:f>G19*'Ipotesi BP'!C19+H19*'Ipotesi BP'!C20</x:f>
        <x:v>194.53123965616666</x:v>
      </x:c>
      <x:c r="L19" s="18" t="n">
        <x:f>D19*'Ipotesi BP'!C18</x:f>
        <x:v>282</x:v>
      </x:c>
      <x:c r="M19" s="18" t="n">
        <x:f>('Ipotesi BP'!C9+'Ipotesi BP'!C12+'Ipotesi BP'!C14+'Ipotesi BP'!C16)/12</x:f>
        <x:v>1600</x:v>
      </x:c>
      <x:c r="N19" s="18" t="n">
        <x:f>'Ipotesi BP'!C21/12</x:f>
        <x:v>2500</x:v>
      </x:c>
      <x:c r="O19" s="18" t="n">
        <x:f>'Ipotesi BP'!C22*'Ipotesi BP'!C23/12</x:f>
        <x:v>1545</x:v>
      </x:c>
      <x:c r="P19" s="18" t="n">
        <x:f>'Ipotesi BP'!C24/12</x:f>
        <x:v>750</x:v>
      </x:c>
      <x:c r="Q19" s="18" t="n">
        <x:f>SUM('Ipotesi BP'!C25:C29)/12</x:f>
        <x:v>1225</x:v>
      </x:c>
      <x:c r="R19" s="17" t="n">
        <x:f>0</x:f>
        <x:v>0</x:v>
      </x:c>
      <x:c r="S19" s="17" t="n">
        <x:f>H19-SUM(I19:R19)</x:f>
        <x:v>-6297.3403911043315</x:v>
      </x:c>
      <x:c r="T19" s="17" t="n">
        <x:f>SUM(X6:X19)/36</x:f>
        <x:v>55.55555555555556</x:v>
      </x:c>
      <x:c r="U19" s="17" t="n">
        <x:f>S19-T19</x:f>
        <x:v>-6352.895946659887</x:v>
      </x:c>
      <x:c r="V19" s="18" t="n">
        <x:f>MAX(0,U19)*'Ipotesi BP'!C38+MAX(0,U19+N19)*'Ipotesi BP'!C39</x:f>
        <x:v>0</x:v>
      </x:c>
      <x:c r="W19" s="17" t="n">
        <x:f>U19-V19</x:f>
        <x:v>-6352.895946659887</x:v>
      </x:c>
      <x:c r="X19" s="17" t="n">
        <x:f>0</x:f>
        <x:v>0</x:v>
      </x:c>
      <x:c r="Y19" s="18" t="n">
        <x:f>H19*(1+'Ipotesi BP'!C34)*'Ipotesi BP'!C37/30</x:f>
        <x:v>448.0028883646676</x:v>
      </x:c>
      <x:c r="Z19" s="17" t="n">
        <x:f>MAX(0,-AO19)</x:f>
        <x:v>5477.787019979785</x:v>
      </x:c>
      <x:c r="AA19" s="17" t="n">
        <x:f>MAX(0,AO19)</x:f>
        <x:v>0</x:v>
      </x:c>
      <x:c r="AB19" s="17" t="n">
        <x:f>Y19+Z19-AA19-Y18-Z18+AA18</x:f>
        <x:v>492.28130621299715</x:v>
      </x:c>
      <x:c r="AC19" s="17" t="n">
        <x:f>W19+T19-AB19</x:f>
        <x:v>-6789.621697317329</x:v>
      </x:c>
      <x:c r="AD19" s="17" t="n">
        <x:f>0</x:f>
        <x:v>0</x:v>
      </x:c>
      <x:c r="AE19" s="17" t="n">
        <x:f>0</x:f>
        <x:v>0</x:v>
      </x:c>
      <x:c r="AF19" s="17" t="n">
        <x:f>AF18+AC19-X19+AD19+AE19</x:f>
        <x:v>75429.94531509498</x:v>
      </x:c>
      <x:c r="AG19" s="17" t="n">
        <x:f>AG18+AC19-X19+AD19</x:f>
        <x:v>-34570.05468490501</x:v>
      </x:c>
      <x:c r="AH19" s="17" t="n">
        <x:f>SUM($X$6:X19)-SUM($T$6:T19)</x:f>
        <x:v>1388.8888888888887</x:v>
      </x:c>
      <x:c r="AI19" s="17" t="n">
        <x:f>SUM($W$6:W19)</x:f>
        <x:v>-37255.375887671675</x:v>
      </x:c>
      <x:c r="AJ19" s="17" t="n">
        <x:f>SUM($AD$6:AE19)</x:f>
        <x:v>120000</x:v>
      </x:c>
      <x:c r="AK19" s="17" t="n">
        <x:f>AF19+Y19+Z19+AH19-AA19-AI19-AJ19</x:f>
        <x:v>1.4551915228366852e-11</x:v>
      </x:c>
      <x:c r="AL19" s="18" t="n">
        <x:f>G19*'Ipotesi BP'!C40/60+D19*'Ipotesi BP'!C41/60+'Ipotesi BP'!C44</x:f>
        <x:v>34.15076115441657</x:v>
      </x:c>
      <x:c r="AM19" s="18" t="n">
        <x:f>'Ipotesi BP'!C42+'Ipotesi BP'!C22*'Ipotesi BP'!C43</x:f>
        <x:v>100</x:v>
      </x:c>
      <x:c r="AN19" s="17" t="n">
        <x:f>MAX(0,AL19-AM19)</x:f>
        <x:v>0</x:v>
      </x:c>
      <x:c r="AO19" s="18" t="n">
        <x:f>AO18-MAX(0,AO18)+(H19-I19-G19*'Ipotesi BP'!C19-L19-M19-P19-Q19+'Ipotesi BP'!C27/12-X19)*'Ipotesi BP'!C34</x:f>
        <x:v>-5477.787019979785</x:v>
      </x:c>
    </x:row>
    <x:row r="20" ht="25" customHeight="1">
      <x:c r="A20" s="17" t="n">
        <x:f>15</x:f>
        <x:v>15</x:v>
      </x:c>
      <x:c r="B20" s="26" t="n">
        <x:f>2028</x:f>
        <x:v>2028</x:v>
      </x:c>
      <x:c r="C20" s="27" t="n">
        <x:f>F19</x:f>
        <x:v>74.9545146312745</x:v>
      </x:c>
      <x:c r="D20" s="28" t="n">
        <x:f>('Ipotesi BP'!C9/'Ipotesi BP'!C10*'Ipotesi BP'!C11+'Ipotesi BP'!C13+'Ipotesi BP'!C15+'Ipotesi BP'!C17)/12*'Ipotesi BP'!C45</x:f>
        <x:v>11.75</x:v>
      </x:c>
      <x:c r="E20" s="28" t="n">
        <x:f>C20*'Ipotesi BP'!C8</x:f>
        <x:v>1.49909029262549</x:v>
      </x:c>
      <x:c r="F20" s="27" t="n">
        <x:f>C20+D20-E20</x:f>
        <x:v>85.20542433864901</x:v>
      </x:c>
      <x:c r="G20" s="27" t="n">
        <x:f>(C20+F20)/2</x:f>
        <x:v>80.07996948496177</x:v>
      </x:c>
      <x:c r="H20" s="18" t="n">
        <x:f>G20*'Ipotesi BP'!C6</x:f>
        <x:v>6326.31758931198</x:v>
      </x:c>
      <x:c r="I20" s="18" t="n">
        <x:f>G20*'Ipotesi BP'!C7</x:f>
        <x:v>4124.118428475531</x:v>
      </x:c>
      <x:c r="J20" s="18" t="n">
        <x:f>G20*('Ipotesi BP'!C6*(1+'Ipotesi BP'!C34)*'Ipotesi BP'!C35+'Ipotesi BP'!C36)</x:f>
        <x:v>135.79160425564967</x:v>
      </x:c>
      <x:c r="K20" s="18" t="n">
        <x:f>G20*'Ipotesi BP'!C19+H20*'Ipotesi BP'!C20</x:f>
        <x:v>223.42311486304334</x:v>
      </x:c>
      <x:c r="L20" s="18" t="n">
        <x:f>D20*'Ipotesi BP'!C18</x:f>
        <x:v>282</x:v>
      </x:c>
      <x:c r="M20" s="18" t="n">
        <x:f>('Ipotesi BP'!C9+'Ipotesi BP'!C12+'Ipotesi BP'!C14+'Ipotesi BP'!C16)/12</x:f>
        <x:v>1600</x:v>
      </x:c>
      <x:c r="N20" s="18" t="n">
        <x:f>'Ipotesi BP'!C21/12</x:f>
        <x:v>2500</x:v>
      </x:c>
      <x:c r="O20" s="18" t="n">
        <x:f>'Ipotesi BP'!C22*'Ipotesi BP'!C23/12</x:f>
        <x:v>1545</x:v>
      </x:c>
      <x:c r="P20" s="18" t="n">
        <x:f>'Ipotesi BP'!C24/12</x:f>
        <x:v>750</x:v>
      </x:c>
      <x:c r="Q20" s="18" t="n">
        <x:f>SUM('Ipotesi BP'!C25:C29)/12</x:f>
        <x:v>1225</x:v>
      </x:c>
      <x:c r="R20" s="17" t="n">
        <x:f>0</x:f>
        <x:v>0</x:v>
      </x:c>
      <x:c r="S20" s="17" t="n">
        <x:f>H20-SUM(I20:R20)</x:f>
        <x:v>-6059.015558282245</x:v>
      </x:c>
      <x:c r="T20" s="17" t="n">
        <x:f>SUM(X6:X20)/36</x:f>
        <x:v>55.55555555555556</x:v>
      </x:c>
      <x:c r="U20" s="17" t="n">
        <x:f>S20-T20</x:f>
        <x:v>-6114.571113837801</x:v>
      </x:c>
      <x:c r="V20" s="18" t="n">
        <x:f>MAX(0,U20)*'Ipotesi BP'!C38+MAX(0,U20+N20)*'Ipotesi BP'!C39</x:f>
        <x:v>0</x:v>
      </x:c>
      <x:c r="W20" s="17" t="n">
        <x:f>U20-V20</x:f>
        <x:v>-6114.571113837801</x:v>
      </x:c>
      <x:c r="X20" s="17" t="n">
        <x:f>0</x:f>
        <x:v>0</x:v>
      </x:c>
      <x:c r="Y20" s="18" t="n">
        <x:f>H20*(1+'Ipotesi BP'!C34)*'Ipotesi BP'!C37/30</x:f>
        <x:v>514.540497264041</x:v>
      </x:c>
      <x:c r="Z20" s="17" t="n">
        <x:f>MAX(0,-AO20)</x:f>
        <x:v>5844.07839116915</x:v>
      </x:c>
      <x:c r="AA20" s="17" t="n">
        <x:f>MAX(0,AO20)</x:f>
        <x:v>0</x:v>
      </x:c>
      <x:c r="AB20" s="17" t="n">
        <x:f>Y20+Z20-AA20-Y19-Z19+AA19</x:f>
        <x:v>432.8289800887378</x:v>
      </x:c>
      <x:c r="AC20" s="17" t="n">
        <x:f>W20+T20-AB20</x:f>
        <x:v>-6491.844538370983</x:v>
      </x:c>
      <x:c r="AD20" s="17" t="n">
        <x:f>0</x:f>
        <x:v>0</x:v>
      </x:c>
      <x:c r="AE20" s="17" t="n">
        <x:f>0</x:f>
        <x:v>0</x:v>
      </x:c>
      <x:c r="AF20" s="17" t="n">
        <x:f>AF19+AC20-X20+AD20+AE20</x:f>
        <x:v>68938.10077672401</x:v>
      </x:c>
      <x:c r="AG20" s="17" t="n">
        <x:f>AG19+AC20-X20+AD20</x:f>
        <x:v>-41061.89922327599</x:v>
      </x:c>
      <x:c r="AH20" s="17" t="n">
        <x:f>SUM($X$6:X20)-SUM($T$6:T20)</x:f>
        <x:v>1333.3333333333333</x:v>
      </x:c>
      <x:c r="AI20" s="17" t="n">
        <x:f>SUM($W$6:W20)</x:f>
        <x:v>-43369.94700150948</x:v>
      </x:c>
      <x:c r="AJ20" s="17" t="n">
        <x:f>SUM($AD$6:AE20)</x:f>
        <x:v>120000</x:v>
      </x:c>
      <x:c r="AK20" s="17" t="n">
        <x:f>AF20+Y20+Z20+AH20-AA20-AI20-AJ20</x:f>
        <x:v>0</x:v>
      </x:c>
      <x:c r="AL20" s="18" t="n">
        <x:f>G20*'Ipotesi BP'!C40/60+D20*'Ipotesi BP'!C41/60+'Ipotesi BP'!C44</x:f>
        <x:v>35.53149593132824</x:v>
      </x:c>
      <x:c r="AM20" s="18" t="n">
        <x:f>'Ipotesi BP'!C42+'Ipotesi BP'!C22*'Ipotesi BP'!C43</x:f>
        <x:v>100</x:v>
      </x:c>
      <x:c r="AN20" s="17" t="n">
        <x:f>MAX(0,AL20-AM20)</x:f>
        <x:v>0</x:v>
      </x:c>
      <x:c r="AO20" s="18" t="n">
        <x:f>AO19-MAX(0,AO19)+(H20-I20-G20*'Ipotesi BP'!C19-L20-M20-P20-Q20+'Ipotesi BP'!C27/12-X20)*'Ipotesi BP'!C34</x:f>
        <x:v>-5844.07839116915</x:v>
      </x:c>
    </x:row>
    <x:row r="21" ht="25" customHeight="1">
      <x:c r="A21" s="17" t="n">
        <x:f>16</x:f>
        <x:v>16</x:v>
      </x:c>
      <x:c r="B21" s="26" t="n">
        <x:f>2028</x:f>
        <x:v>2028</x:v>
      </x:c>
      <x:c r="C21" s="27" t="n">
        <x:f>F20</x:f>
        <x:v>85.20542433864901</x:v>
      </x:c>
      <x:c r="D21" s="28" t="n">
        <x:f>('Ipotesi BP'!C9/'Ipotesi BP'!C10*'Ipotesi BP'!C11+'Ipotesi BP'!C13+'Ipotesi BP'!C15+'Ipotesi BP'!C17)/12*'Ipotesi BP'!C45</x:f>
        <x:v>11.75</x:v>
      </x:c>
      <x:c r="E21" s="28" t="n">
        <x:f>C21*'Ipotesi BP'!C8</x:f>
        <x:v>1.7041084867729803</x:v>
      </x:c>
      <x:c r="F21" s="27" t="n">
        <x:f>C21+D21-E21</x:f>
        <x:v>95.25131585187603</x:v>
      </x:c>
      <x:c r="G21" s="27" t="n">
        <x:f>(C21+F21)/2</x:f>
        <x:v>90.22837009526252</x:v>
      </x:c>
      <x:c r="H21" s="18" t="n">
        <x:f>G21*'Ipotesi BP'!C6</x:f>
        <x:v>7128.041237525739</x:v>
      </x:c>
      <x:c r="I21" s="18" t="n">
        <x:f>G21*'Ipotesi BP'!C7</x:f>
        <x:v>4646.76105990602</x:v>
      </x:c>
      <x:c r="J21" s="18" t="n">
        <x:f>G21*('Ipotesi BP'!C6*(1+'Ipotesi BP'!C34)*'Ipotesi BP'!C35+'Ipotesi BP'!C36)</x:f>
        <x:v>153.00024717053665</x:v>
      </x:c>
      <x:c r="K21" s="18" t="n">
        <x:f>G21*'Ipotesi BP'!C19+H21*'Ipotesi BP'!C20</x:f>
        <x:v>251.73715256578242</x:v>
      </x:c>
      <x:c r="L21" s="18" t="n">
        <x:f>D21*'Ipotesi BP'!C18</x:f>
        <x:v>282</x:v>
      </x:c>
      <x:c r="M21" s="18" t="n">
        <x:f>('Ipotesi BP'!C9+'Ipotesi BP'!C12+'Ipotesi BP'!C14+'Ipotesi BP'!C16)/12</x:f>
        <x:v>1600</x:v>
      </x:c>
      <x:c r="N21" s="18" t="n">
        <x:f>'Ipotesi BP'!C21/12</x:f>
        <x:v>2500</x:v>
      </x:c>
      <x:c r="O21" s="18" t="n">
        <x:f>'Ipotesi BP'!C22*'Ipotesi BP'!C23/12</x:f>
        <x:v>1545</x:v>
      </x:c>
      <x:c r="P21" s="18" t="n">
        <x:f>'Ipotesi BP'!C24/12</x:f>
        <x:v>750</x:v>
      </x:c>
      <x:c r="Q21" s="18" t="n">
        <x:f>SUM('Ipotesi BP'!C25:C29)/12</x:f>
        <x:v>1225</x:v>
      </x:c>
      <x:c r="R21" s="17" t="n">
        <x:f>0</x:f>
        <x:v>0</x:v>
      </x:c>
      <x:c r="S21" s="17" t="n">
        <x:f>H21-SUM(I21:R21)</x:f>
        <x:v>-5825.457222116599</x:v>
      </x:c>
      <x:c r="T21" s="17" t="n">
        <x:f>SUM(X6:X21)/36</x:f>
        <x:v>55.55555555555556</x:v>
      </x:c>
      <x:c r="U21" s="17" t="n">
        <x:f>S21-T21</x:f>
        <x:v>-5881.012777672155</x:v>
      </x:c>
      <x:c r="V21" s="18" t="n">
        <x:f>MAX(0,U21)*'Ipotesi BP'!C38+MAX(0,U21+N21)*'Ipotesi BP'!C39</x:f>
        <x:v>0</x:v>
      </x:c>
      <x:c r="W21" s="17" t="n">
        <x:f>U21-V21</x:f>
        <x:v>-5881.012777672155</x:v>
      </x:c>
      <x:c r="X21" s="17" t="n">
        <x:f>0</x:f>
        <x:v>0</x:v>
      </x:c>
      <x:c r="Y21" s="18" t="n">
        <x:f>H21*(1+'Ipotesi BP'!C34)*'Ipotesi BP'!C37/30</x:f>
        <x:v>579.7473539854268</x:v>
      </x:c>
      <x:c r="Z21" s="17" t="n">
        <x:f>MAX(0,-AO21)</x:f>
        <x:v>6153.437234934727</x:v>
      </x:c>
      <x:c r="AA21" s="17" t="n">
        <x:f>MAX(0,AO21)</x:f>
        <x:v>0</x:v>
      </x:c>
      <x:c r="AB21" s="17" t="n">
        <x:f>Y21+Z21-AA21-Y20-Z20+AA20</x:f>
        <x:v>374.5657004869636</x:v>
      </x:c>
      <x:c r="AC21" s="17" t="n">
        <x:f>W21+T21-AB21</x:f>
        <x:v>-6200.022922603563</x:v>
      </x:c>
      <x:c r="AD21" s="17" t="n">
        <x:f>0</x:f>
        <x:v>0</x:v>
      </x:c>
      <x:c r="AE21" s="17" t="n">
        <x:f>0</x:f>
        <x:v>0</x:v>
      </x:c>
      <x:c r="AF21" s="17" t="n">
        <x:f>AF20+AC21-X21+AD21+AE21</x:f>
        <x:v>62738.07785412045</x:v>
      </x:c>
      <x:c r="AG21" s="17" t="n">
        <x:f>AG20+AC21-X21+AD21</x:f>
        <x:v>-47261.92214587955</x:v>
      </x:c>
      <x:c r="AH21" s="17" t="n">
        <x:f>SUM($X$6:X21)-SUM($T$6:T21)</x:f>
        <x:v>1277.7777777777778</x:v>
      </x:c>
      <x:c r="AI21" s="17" t="n">
        <x:f>SUM($W$6:W21)</x:f>
        <x:v>-49250.959779181634</x:v>
      </x:c>
      <x:c r="AJ21" s="17" t="n">
        <x:f>SUM($AD$6:AE21)</x:f>
        <x:v>120000</x:v>
      </x:c>
      <x:c r="AK21" s="17" t="n">
        <x:f>AF21+Y21+Z21+AH21-AA21-AI21-AJ21</x:f>
        <x:v>1.4551915228366852e-11</x:v>
      </x:c>
      <x:c r="AL21" s="18" t="n">
        <x:f>G21*'Ipotesi BP'!C40/60+D21*'Ipotesi BP'!C41/60+'Ipotesi BP'!C44</x:f>
        <x:v>36.88461601270167</x:v>
      </x:c>
      <x:c r="AM21" s="18" t="n">
        <x:f>'Ipotesi BP'!C42+'Ipotesi BP'!C22*'Ipotesi BP'!C43</x:f>
        <x:v>100</x:v>
      </x:c>
      <x:c r="AN21" s="17" t="n">
        <x:f>MAX(0,AL21-AM21)</x:f>
        <x:v>0</x:v>
      </x:c>
      <x:c r="AO21" s="18" t="n">
        <x:f>AO20-MAX(0,AO20)+(H21-I21-G21*'Ipotesi BP'!C19-L21-M21-P21-Q21+'Ipotesi BP'!C27/12-X21)*'Ipotesi BP'!C34</x:f>
        <x:v>-6153.437234934727</x:v>
      </x:c>
    </x:row>
    <x:row r="22" ht="25" customHeight="1">
      <x:c r="A22" s="17" t="n">
        <x:f>17</x:f>
        <x:v>17</x:v>
      </x:c>
      <x:c r="B22" s="26" t="n">
        <x:f>2028</x:f>
        <x:v>2028</x:v>
      </x:c>
      <x:c r="C22" s="27" t="n">
        <x:f>F21</x:f>
        <x:v>95.25131585187603</x:v>
      </x:c>
      <x:c r="D22" s="28" t="n">
        <x:f>('Ipotesi BP'!C9/'Ipotesi BP'!C10*'Ipotesi BP'!C11+'Ipotesi BP'!C13+'Ipotesi BP'!C15+'Ipotesi BP'!C17)/12*'Ipotesi BP'!C45</x:f>
        <x:v>11.75</x:v>
      </x:c>
      <x:c r="E22" s="28" t="n">
        <x:f>C22*'Ipotesi BP'!C8</x:f>
        <x:v>1.9050263170375206</x:v>
      </x:c>
      <x:c r="F22" s="27" t="n">
        <x:f>C22+D22-E22</x:f>
        <x:v>105.0962895348385</x:v>
      </x:c>
      <x:c r="G22" s="27" t="n">
        <x:f>(C22+F22)/2</x:f>
        <x:v>100.17380269335726</x:v>
      </x:c>
      <x:c r="H22" s="18" t="n">
        <x:f>G22*'Ipotesi BP'!C6</x:f>
        <x:v>7913.730412775223</x:v>
      </x:c>
      <x:c r="I22" s="18" t="n">
        <x:f>G22*'Ipotesi BP'!C7</x:f>
        <x:v>5158.950838707899</x:v>
      </x:c>
      <x:c r="J22" s="18" t="n">
        <x:f>G22*('Ipotesi BP'!C6*(1+'Ipotesi BP'!C34)*'Ipotesi BP'!C35+'Ipotesi BP'!C36)</x:f>
        <x:v>169.8647172271259</x:v>
      </x:c>
      <x:c r="K22" s="18" t="n">
        <x:f>G22*'Ipotesi BP'!C19+H22*'Ipotesi BP'!C20</x:f>
        <x:v>279.4849095144667</x:v>
      </x:c>
      <x:c r="L22" s="18" t="n">
        <x:f>D22*'Ipotesi BP'!C18</x:f>
        <x:v>282</x:v>
      </x:c>
      <x:c r="M22" s="18" t="n">
        <x:f>('Ipotesi BP'!C9+'Ipotesi BP'!C12+'Ipotesi BP'!C14+'Ipotesi BP'!C16)/12</x:f>
        <x:v>1600</x:v>
      </x:c>
      <x:c r="N22" s="18" t="n">
        <x:f>'Ipotesi BP'!C21/12</x:f>
        <x:v>2500</x:v>
      </x:c>
      <x:c r="O22" s="18" t="n">
        <x:f>'Ipotesi BP'!C22*'Ipotesi BP'!C23/12</x:f>
        <x:v>1545</x:v>
      </x:c>
      <x:c r="P22" s="18" t="n">
        <x:f>'Ipotesi BP'!C24/12</x:f>
        <x:v>750</x:v>
      </x:c>
      <x:c r="Q22" s="18" t="n">
        <x:f>SUM('Ipotesi BP'!C25:C29)/12</x:f>
        <x:v>1225</x:v>
      </x:c>
      <x:c r="R22" s="17" t="n">
        <x:f>0</x:f>
        <x:v>0</x:v>
      </x:c>
      <x:c r="S22" s="17" t="n">
        <x:f>H22-SUM(I22:R22)</x:f>
        <x:v>-5596.570052674268</x:v>
      </x:c>
      <x:c r="T22" s="17" t="n">
        <x:f>SUM(X6:X22)/36</x:f>
        <x:v>55.55555555555556</x:v>
      </x:c>
      <x:c r="U22" s="17" t="n">
        <x:f>S22-T22</x:f>
        <x:v>-5652.125608229823</x:v>
      </x:c>
      <x:c r="V22" s="18" t="n">
        <x:f>MAX(0,U22)*'Ipotesi BP'!C38+MAX(0,U22+N22)*'Ipotesi BP'!C39</x:f>
        <x:v>0</x:v>
      </x:c>
      <x:c r="W22" s="17" t="n">
        <x:f>U22-V22</x:f>
        <x:v>-5652.125608229823</x:v>
      </x:c>
      <x:c r="X22" s="17" t="n">
        <x:f>0</x:f>
        <x:v>0</x:v>
      </x:c>
      <x:c r="Y22" s="18" t="n">
        <x:f>H22*(1+'Ipotesi BP'!C34)*'Ipotesi BP'!C37/30</x:f>
        <x:v>643.6500735723847</x:v>
      </x:c>
      <x:c r="Z22" s="17" t="n">
        <x:f>MAX(0,-AO22)</x:f>
        <x:v>6407.002201824993</x:v>
      </x:c>
      <x:c r="AA22" s="17" t="n">
        <x:f>MAX(0,AO22)</x:f>
        <x:v>0</x:v>
      </x:c>
      <x:c r="AB22" s="17" t="n">
        <x:f>Y22+Z22-AA22-Y21-Z21+AA21</x:f>
        <x:v>317.46768647722456</x:v>
      </x:c>
      <x:c r="AC22" s="17" t="n">
        <x:f>W22+T22-AB22</x:f>
        <x:v>-5914.037739151492</x:v>
      </x:c>
      <x:c r="AD22" s="17" t="n">
        <x:f>0</x:f>
        <x:v>0</x:v>
      </x:c>
      <x:c r="AE22" s="17" t="n">
        <x:f>0</x:f>
        <x:v>0</x:v>
      </x:c>
      <x:c r="AF22" s="17" t="n">
        <x:f>AF21+AC22-X22+AD22+AE22</x:f>
        <x:v>56824.04011496896</x:v>
      </x:c>
      <x:c r="AG22" s="17" t="n">
        <x:f>AG21+AC22-X22+AD22</x:f>
        <x:v>-53175.95988503104</x:v>
      </x:c>
      <x:c r="AH22" s="17" t="n">
        <x:f>SUM($X$6:X22)-SUM($T$6:T22)</x:f>
        <x:v>1222.2222222222222</x:v>
      </x:c>
      <x:c r="AI22" s="17" t="n">
        <x:f>SUM($W$6:W22)</x:f>
        <x:v>-54903.085387411455</x:v>
      </x:c>
      <x:c r="AJ22" s="17" t="n">
        <x:f>SUM($AD$6:AE22)</x:f>
        <x:v>120000</x:v>
      </x:c>
      <x:c r="AK22" s="17" t="n">
        <x:f>AF22+Y22+Z22+AH22-AA22-AI22-AJ22</x:f>
        <x:v>0</x:v>
      </x:c>
      <x:c r="AL22" s="18" t="n">
        <x:f>G22*'Ipotesi BP'!C40/60+D22*'Ipotesi BP'!C41/60+'Ipotesi BP'!C44</x:f>
        <x:v>38.210673692447635</x:v>
      </x:c>
      <x:c r="AM22" s="18" t="n">
        <x:f>'Ipotesi BP'!C42+'Ipotesi BP'!C22*'Ipotesi BP'!C43</x:f>
        <x:v>100</x:v>
      </x:c>
      <x:c r="AN22" s="17" t="n">
        <x:f>MAX(0,AL22-AM22)</x:f>
        <x:v>0</x:v>
      </x:c>
      <x:c r="AO22" s="18" t="n">
        <x:f>AO21-MAX(0,AO21)+(H22-I22-G22*'Ipotesi BP'!C19-L22-M22-P22-Q22+'Ipotesi BP'!C27/12-X22)*'Ipotesi BP'!C34</x:f>
        <x:v>-6407.002201824993</x:v>
      </x:c>
    </x:row>
    <x:row r="23" ht="25" customHeight="1">
      <x:c r="A23" s="17" t="n">
        <x:f>18</x:f>
        <x:v>18</x:v>
      </x:c>
      <x:c r="B23" s="26" t="n">
        <x:f>2028</x:f>
        <x:v>2028</x:v>
      </x:c>
      <x:c r="C23" s="27" t="n">
        <x:f>F22</x:f>
        <x:v>105.0962895348385</x:v>
      </x:c>
      <x:c r="D23" s="28" t="n">
        <x:f>('Ipotesi BP'!C9/'Ipotesi BP'!C10*'Ipotesi BP'!C11+'Ipotesi BP'!C13+'Ipotesi BP'!C15+'Ipotesi BP'!C17)/12*'Ipotesi BP'!C45</x:f>
        <x:v>11.75</x:v>
      </x:c>
      <x:c r="E23" s="28" t="n">
        <x:f>C23*'Ipotesi BP'!C8</x:f>
        <x:v>2.1019257906967703</x:v>
      </x:c>
      <x:c r="F23" s="27" t="n">
        <x:f>C23+D23-E23</x:f>
        <x:v>114.74436374414174</x:v>
      </x:c>
      <x:c r="G23" s="27" t="n">
        <x:f>(C23+F23)/2</x:f>
        <x:v>109.92032663949013</x:v>
      </x:c>
      <x:c r="H23" s="18" t="n">
        <x:f>G23*'Ipotesi BP'!C6</x:f>
        <x:v>8683.705804519721</x:v>
      </x:c>
      <x:c r="I23" s="18" t="n">
        <x:f>G23*'Ipotesi BP'!C7</x:f>
        <x:v>5660.896821933741</x:v>
      </x:c>
      <x:c r="J23" s="18" t="n">
        <x:f>G23*('Ipotesi BP'!C6*(1+'Ipotesi BP'!C34)*'Ipotesi BP'!C35+'Ipotesi BP'!C36)</x:f>
        <x:v>186.3918978825834</x:v>
      </x:c>
      <x:c r="K23" s="18" t="n">
        <x:f>G23*'Ipotesi BP'!C19+H23*'Ipotesi BP'!C20</x:f>
        <x:v>306.6777113241775</x:v>
      </x:c>
      <x:c r="L23" s="18" t="n">
        <x:f>D23*'Ipotesi BP'!C18</x:f>
        <x:v>282</x:v>
      </x:c>
      <x:c r="M23" s="18" t="n">
        <x:f>('Ipotesi BP'!C9+'Ipotesi BP'!C12+'Ipotesi BP'!C14+'Ipotesi BP'!C16)/12</x:f>
        <x:v>1600</x:v>
      </x:c>
      <x:c r="N23" s="18" t="n">
        <x:f>'Ipotesi BP'!C21/12</x:f>
        <x:v>2500</x:v>
      </x:c>
      <x:c r="O23" s="18" t="n">
        <x:f>'Ipotesi BP'!C22*'Ipotesi BP'!C23/12</x:f>
        <x:v>1545</x:v>
      </x:c>
      <x:c r="P23" s="18" t="n">
        <x:f>'Ipotesi BP'!C24/12</x:f>
        <x:v>750</x:v>
      </x:c>
      <x:c r="Q23" s="18" t="n">
        <x:f>SUM('Ipotesi BP'!C25:C29)/12</x:f>
        <x:v>1225</x:v>
      </x:c>
      <x:c r="R23" s="17" t="n">
        <x:f>0</x:f>
        <x:v>0</x:v>
      </x:c>
      <x:c r="S23" s="17" t="n">
        <x:f>H23-SUM(I23:R23)</x:f>
        <x:v>-5372.260626620782</x:v>
      </x:c>
      <x:c r="T23" s="17" t="n">
        <x:f>SUM(X6:X23)/36</x:f>
        <x:v>55.55555555555556</x:v>
      </x:c>
      <x:c r="U23" s="17" t="n">
        <x:f>S23-T23</x:f>
        <x:v>-5427.816182176338</x:v>
      </x:c>
      <x:c r="V23" s="18" t="n">
        <x:f>MAX(0,U23)*'Ipotesi BP'!C38+MAX(0,U23+N23)*'Ipotesi BP'!C39</x:f>
        <x:v>0</x:v>
      </x:c>
      <x:c r="W23" s="17" t="n">
        <x:f>U23-V23</x:f>
        <x:v>-5427.816182176338</x:v>
      </x:c>
      <x:c r="X23" s="17" t="n">
        <x:f>0</x:f>
        <x:v>0</x:v>
      </x:c>
      <x:c r="Y23" s="18" t="n">
        <x:f>H23*(1+'Ipotesi BP'!C34)*'Ipotesi BP'!C37/30</x:f>
        <x:v>706.2747387676039</x:v>
      </x:c>
      <x:c r="Z23" s="17" t="n">
        <x:f>MAX(0,-AO23)</x:f>
        <x:v>6605.889169377453</x:v>
      </x:c>
      <x:c r="AA23" s="17" t="n">
        <x:f>MAX(0,AO23)</x:f>
        <x:v>0</x:v>
      </x:c>
      <x:c r="AB23" s="17" t="n">
        <x:f>Y23+Z23-AA23-Y22-Z22+AA22</x:f>
        <x:v>261.51163274767896</x:v>
      </x:c>
      <x:c r="AC23" s="17" t="n">
        <x:f>W23+T23-AB23</x:f>
        <x:v>-5633.772259368461</x:v>
      </x:c>
      <x:c r="AD23" s="17" t="n">
        <x:f>0</x:f>
        <x:v>0</x:v>
      </x:c>
      <x:c r="AE23" s="17" t="n">
        <x:f>0</x:f>
        <x:v>0</x:v>
      </x:c>
      <x:c r="AF23" s="17" t="n">
        <x:f>AF22+AC23-X23+AD23+AE23</x:f>
        <x:v>51190.2678556005</x:v>
      </x:c>
      <x:c r="AG23" s="17" t="n">
        <x:f>AG22+AC23-X23+AD23</x:f>
        <x:v>-58809.7321443995</x:v>
      </x:c>
      <x:c r="AH23" s="17" t="n">
        <x:f>SUM($X$6:X23)-SUM($T$6:T23)</x:f>
        <x:v>1166.6666666666665</x:v>
      </x:c>
      <x:c r="AI23" s="17" t="n">
        <x:f>SUM($W$6:W23)</x:f>
        <x:v>-60330.90156958779</x:v>
      </x:c>
      <x:c r="AJ23" s="17" t="n">
        <x:f>SUM($AD$6:AE23)</x:f>
        <x:v>120000</x:v>
      </x:c>
      <x:c r="AK23" s="17" t="n">
        <x:f>AF23+Y23+Z23+AH23-AA23-AI23-AJ23</x:f>
        <x:v>0</x:v>
      </x:c>
      <x:c r="AL23" s="18" t="n">
        <x:f>G23*'Ipotesi BP'!C40/60+D23*'Ipotesi BP'!C41/60+'Ipotesi BP'!C44</x:f>
        <x:v>39.51021021859869</x:v>
      </x:c>
      <x:c r="AM23" s="18" t="n">
        <x:f>'Ipotesi BP'!C42+'Ipotesi BP'!C22*'Ipotesi BP'!C43</x:f>
        <x:v>100</x:v>
      </x:c>
      <x:c r="AN23" s="17" t="n">
        <x:f>MAX(0,AL23-AM23)</x:f>
        <x:v>0</x:v>
      </x:c>
      <x:c r="AO23" s="18" t="n">
        <x:f>AO22-MAX(0,AO22)+(H23-I23-G23*'Ipotesi BP'!C19-L23-M23-P23-Q23+'Ipotesi BP'!C27/12-X23)*'Ipotesi BP'!C34</x:f>
        <x:v>-6605.889169377453</x:v>
      </x:c>
    </x:row>
    <x:row r="24" ht="25" customHeight="1">
      <x:c r="A24" s="17" t="n">
        <x:f>19</x:f>
        <x:v>19</x:v>
      </x:c>
      <x:c r="B24" s="26" t="n">
        <x:f>2028</x:f>
        <x:v>2028</x:v>
      </x:c>
      <x:c r="C24" s="27" t="n">
        <x:f>F23</x:f>
        <x:v>114.74436374414174</x:v>
      </x:c>
      <x:c r="D24" s="28" t="n">
        <x:f>('Ipotesi BP'!C9/'Ipotesi BP'!C10*'Ipotesi BP'!C11+'Ipotesi BP'!C13+'Ipotesi BP'!C15+'Ipotesi BP'!C17)/12*'Ipotesi BP'!C45</x:f>
        <x:v>11.75</x:v>
      </x:c>
      <x:c r="E24" s="28" t="n">
        <x:f>C24*'Ipotesi BP'!C8</x:f>
        <x:v>2.294887274882835</x:v>
      </x:c>
      <x:c r="F24" s="27" t="n">
        <x:f>C24+D24-E24</x:f>
        <x:v>124.1994764692589</x:v>
      </x:c>
      <x:c r="G24" s="27" t="n">
        <x:f>(C24+F24)/2</x:f>
        <x:v>119.47192010670031</x:v>
      </x:c>
      <x:c r="H24" s="18" t="n">
        <x:f>G24*'Ipotesi BP'!C6</x:f>
        <x:v>9438.281688429324</x:v>
      </x:c>
      <x:c r="I24" s="18" t="n">
        <x:f>G24*'Ipotesi BP'!C7</x:f>
        <x:v>6152.8038854950655</x:v>
      </x:c>
      <x:c r="J24" s="18" t="n">
        <x:f>G24*('Ipotesi BP'!C6*(1+'Ipotesi BP'!C34)*'Ipotesi BP'!C35+'Ipotesi BP'!C36)</x:f>
        <x:v>202.5885349249317</x:v>
      </x:c>
      <x:c r="K24" s="18" t="n">
        <x:f>G24*'Ipotesi BP'!C19+H24*'Ipotesi BP'!C20</x:f>
        <x:v>333.3266570976939</x:v>
      </x:c>
      <x:c r="L24" s="18" t="n">
        <x:f>D24*'Ipotesi BP'!C18</x:f>
        <x:v>282</x:v>
      </x:c>
      <x:c r="M24" s="18" t="n">
        <x:f>('Ipotesi BP'!C9+'Ipotesi BP'!C12+'Ipotesi BP'!C14+'Ipotesi BP'!C16)/12</x:f>
        <x:v>1600</x:v>
      </x:c>
      <x:c r="N24" s="18" t="n">
        <x:f>'Ipotesi BP'!C21/12</x:f>
        <x:v>2500</x:v>
      </x:c>
      <x:c r="O24" s="18" t="n">
        <x:f>'Ipotesi BP'!C22*'Ipotesi BP'!C23/12</x:f>
        <x:v>1545</x:v>
      </x:c>
      <x:c r="P24" s="18" t="n">
        <x:f>'Ipotesi BP'!C24/12</x:f>
        <x:v>750</x:v>
      </x:c>
      <x:c r="Q24" s="18" t="n">
        <x:f>SUM('Ipotesi BP'!C25:C29)/12</x:f>
        <x:v>1225</x:v>
      </x:c>
      <x:c r="R24" s="17" t="n">
        <x:f>0</x:f>
        <x:v>0</x:v>
      </x:c>
      <x:c r="S24" s="17" t="n">
        <x:f>H24-SUM(I24:R24)</x:f>
        <x:v>-5152.437389088367</x:v>
      </x:c>
      <x:c r="T24" s="17" t="n">
        <x:f>SUM(X6:X24)/36</x:f>
        <x:v>55.55555555555556</x:v>
      </x:c>
      <x:c r="U24" s="17" t="n">
        <x:f>S24-T24</x:f>
        <x:v>-5207.992944643923</x:v>
      </x:c>
      <x:c r="V24" s="18" t="n">
        <x:f>MAX(0,U24)*'Ipotesi BP'!C38+MAX(0,U24+N24)*'Ipotesi BP'!C39</x:f>
        <x:v>0</x:v>
      </x:c>
      <x:c r="W24" s="17" t="n">
        <x:f>U24-V24</x:f>
        <x:v>-5207.992944643923</x:v>
      </x:c>
      <x:c r="X24" s="17" t="n">
        <x:f>0</x:f>
        <x:v>0</x:v>
      </x:c>
      <x:c r="Y24" s="18" t="n">
        <x:f>H24*(1+'Ipotesi BP'!C34)*'Ipotesi BP'!C37/30</x:f>
        <x:v>767.6469106589183</x:v>
      </x:c>
      <x:c r="Z24" s="17" t="n">
        <x:f>MAX(0,-AO24)</x:f>
        <x:v>6751.1916975788645</x:v>
      </x:c>
      <x:c r="AA24" s="17" t="n">
        <x:f>MAX(0,AO24)</x:f>
        <x:v>0</x:v>
      </x:c>
      <x:c r="AB24" s="17" t="n">
        <x:f>Y24+Z24-AA24-Y23-Z23+AA23</x:f>
        <x:v>206.6747000927262</x:v>
      </x:c>
      <x:c r="AC24" s="17" t="n">
        <x:f>W24+T24-AB24</x:f>
        <x:v>-5359.112089181093</x:v>
      </x:c>
      <x:c r="AD24" s="17" t="n">
        <x:f>0</x:f>
        <x:v>0</x:v>
      </x:c>
      <x:c r="AE24" s="17" t="n">
        <x:f>0</x:f>
        <x:v>0</x:v>
      </x:c>
      <x:c r="AF24" s="17" t="n">
        <x:f>AF23+AC24-X24+AD24+AE24</x:f>
        <x:v>45831.155766419404</x:v>
      </x:c>
      <x:c r="AG24" s="17" t="n">
        <x:f>AG23+AC24-X24+AD24</x:f>
        <x:v>-64168.844233580596</x:v>
      </x:c>
      <x:c r="AH24" s="17" t="n">
        <x:f>SUM($X$6:X24)-SUM($T$6:T24)</x:f>
        <x:v>1111.111111111111</x:v>
      </x:c>
      <x:c r="AI24" s="17" t="n">
        <x:f>SUM($W$6:W24)</x:f>
        <x:v>-65538.89451423171</x:v>
      </x:c>
      <x:c r="AJ24" s="17" t="n">
        <x:f>SUM($AD$6:AE24)</x:f>
        <x:v>120000</x:v>
      </x:c>
      <x:c r="AK24" s="17" t="n">
        <x:f>AF24+Y24+Z24+AH24-AA24-AI24-AJ24</x:f>
        <x:v>0</x:v>
      </x:c>
      <x:c r="AL24" s="18" t="n">
        <x:f>G24*'Ipotesi BP'!C40/60+D24*'Ipotesi BP'!C41/60+'Ipotesi BP'!C44</x:f>
        <x:v>40.78375601422671</x:v>
      </x:c>
      <x:c r="AM24" s="18" t="n">
        <x:f>'Ipotesi BP'!C42+'Ipotesi BP'!C22*'Ipotesi BP'!C43</x:f>
        <x:v>100</x:v>
      </x:c>
      <x:c r="AN24" s="17" t="n">
        <x:f>MAX(0,AL24-AM24)</x:f>
        <x:v>0</x:v>
      </x:c>
      <x:c r="AO24" s="18" t="n">
        <x:f>AO23-MAX(0,AO23)+(H24-I24-G24*'Ipotesi BP'!C19-L24-M24-P24-Q24+'Ipotesi BP'!C27/12-X24)*'Ipotesi BP'!C34</x:f>
        <x:v>-6751.1916975788645</x:v>
      </x:c>
    </x:row>
    <x:row r="25" ht="25" customHeight="1">
      <x:c r="A25" s="17" t="n">
        <x:f>20</x:f>
        <x:v>20</x:v>
      </x:c>
      <x:c r="B25" s="26" t="n">
        <x:f>2028</x:f>
        <x:v>2028</x:v>
      </x:c>
      <x:c r="C25" s="27" t="n">
        <x:f>F24</x:f>
        <x:v>124.1994764692589</x:v>
      </x:c>
      <x:c r="D25" s="28" t="n">
        <x:f>('Ipotesi BP'!C9/'Ipotesi BP'!C10*'Ipotesi BP'!C11+'Ipotesi BP'!C13+'Ipotesi BP'!C15+'Ipotesi BP'!C17)/12*'Ipotesi BP'!C45</x:f>
        <x:v>11.75</x:v>
      </x:c>
      <x:c r="E25" s="28" t="n">
        <x:f>C25*'Ipotesi BP'!C8</x:f>
        <x:v>2.483989529385178</x:v>
      </x:c>
      <x:c r="F25" s="27" t="n">
        <x:f>C25+D25-E25</x:f>
        <x:v>133.46548693987373</x:v>
      </x:c>
      <x:c r="G25" s="27" t="n">
        <x:f>(C25+F25)/2</x:f>
        <x:v>128.8324817045663</x:v>
      </x:c>
      <x:c r="H25" s="18" t="n">
        <x:f>G25*'Ipotesi BP'!C6</x:f>
        <x:v>10177.766054660739</x:v>
      </x:c>
      <x:c r="I25" s="18" t="n">
        <x:f>G25*'Ipotesi BP'!C7</x:f>
        <x:v>6634.872807785165</x:v>
      </x:c>
      <x:c r="J25" s="18" t="n">
        <x:f>G25*('Ipotesi BP'!C6*(1+'Ipotesi BP'!C34)*'Ipotesi BP'!C35+'Ipotesi BP'!C36)</x:f>
        <x:v>218.4612392264331</x:v>
      </x:c>
      <x:c r="K25" s="18" t="n">
        <x:f>G25*'Ipotesi BP'!C19+H25*'Ipotesi BP'!C20</x:f>
        <x:v>359.44262395574003</x:v>
      </x:c>
      <x:c r="L25" s="18" t="n">
        <x:f>D25*'Ipotesi BP'!C18</x:f>
        <x:v>282</x:v>
      </x:c>
      <x:c r="M25" s="18" t="n">
        <x:f>('Ipotesi BP'!C9+'Ipotesi BP'!C12+'Ipotesi BP'!C14+'Ipotesi BP'!C16)/12</x:f>
        <x:v>1600</x:v>
      </x:c>
      <x:c r="N25" s="18" t="n">
        <x:f>'Ipotesi BP'!C21/12</x:f>
        <x:v>2500</x:v>
      </x:c>
      <x:c r="O25" s="18" t="n">
        <x:f>'Ipotesi BP'!C22*'Ipotesi BP'!C23/12</x:f>
        <x:v>1545</x:v>
      </x:c>
      <x:c r="P25" s="18" t="n">
        <x:f>'Ipotesi BP'!C24/12</x:f>
        <x:v>750</x:v>
      </x:c>
      <x:c r="Q25" s="18" t="n">
        <x:f>SUM('Ipotesi BP'!C25:C29)/12</x:f>
        <x:v>1225</x:v>
      </x:c>
      <x:c r="R25" s="17" t="n">
        <x:f>0</x:f>
        <x:v>0</x:v>
      </x:c>
      <x:c r="S25" s="17" t="n">
        <x:f>H25-SUM(I25:R25)</x:f>
        <x:v>-4937.010616306599</x:v>
      </x:c>
      <x:c r="T25" s="17" t="n">
        <x:f>SUM(X6:X25)/36</x:f>
        <x:v>55.55555555555556</x:v>
      </x:c>
      <x:c r="U25" s="17" t="n">
        <x:f>S25-T25</x:f>
        <x:v>-4992.566171862155</x:v>
      </x:c>
      <x:c r="V25" s="18" t="n">
        <x:f>MAX(0,U25)*'Ipotesi BP'!C38+MAX(0,U25+N25)*'Ipotesi BP'!C39</x:f>
        <x:v>0</x:v>
      </x:c>
      <x:c r="W25" s="17" t="n">
        <x:f>U25-V25</x:f>
        <x:v>-4992.566171862155</x:v>
      </x:c>
      <x:c r="X25" s="17" t="n">
        <x:f>0</x:f>
        <x:v>0</x:v>
      </x:c>
      <x:c r="Y25" s="18" t="n">
        <x:f>H25*(1+'Ipotesi BP'!C34)*'Ipotesi BP'!C37/30</x:f>
        <x:v>827.7916391124068</x:v>
      </x:c>
      <x:c r="Z25" s="17" t="n">
        <x:f>MAX(0,-AO25)</x:f>
        <x:v>6843.981475216247</x:v>
      </x:c>
      <x:c r="AA25" s="17" t="n">
        <x:f>MAX(0,AO25)</x:f>
        <x:v>0</x:v>
      </x:c>
      <x:c r="AB25" s="17" t="n">
        <x:f>Y25+Z25-AA25-Y24-Z24+AA24</x:f>
        <x:v>152.93450609087176</x:v>
      </x:c>
      <x:c r="AC25" s="17" t="n">
        <x:f>W25+T25-AB25</x:f>
        <x:v>-5089.945122397471</x:v>
      </x:c>
      <x:c r="AD25" s="17" t="n">
        <x:f>0</x:f>
        <x:v>0</x:v>
      </x:c>
      <x:c r="AE25" s="17" t="n">
        <x:f>0</x:f>
        <x:v>0</x:v>
      </x:c>
      <x:c r="AF25" s="17" t="n">
        <x:f>AF24+AC25-X25+AD25+AE25</x:f>
        <x:v>40741.210644021936</x:v>
      </x:c>
      <x:c r="AG25" s="17" t="n">
        <x:f>AG24+AC25-X25+AD25</x:f>
        <x:v>-69258.78935597806</x:v>
      </x:c>
      <x:c r="AH25" s="17" t="n">
        <x:f>SUM($X$6:X25)-SUM($T$6:T25)</x:f>
        <x:v>1055.5555555555557</x:v>
      </x:c>
      <x:c r="AI25" s="17" t="n">
        <x:f>SUM($W$6:W25)</x:f>
        <x:v>-70531.46068609387</x:v>
      </x:c>
      <x:c r="AJ25" s="17" t="n">
        <x:f>SUM($AD$6:AE25)</x:f>
        <x:v>120000</x:v>
      </x:c>
      <x:c r="AK25" s="17" t="n">
        <x:f>AF25+Y25+Z25+AH25-AA25-AI25-AJ25</x:f>
        <x:v>1.4551915228366852e-11</x:v>
      </x:c>
      <x:c r="AL25" s="18" t="n">
        <x:f>G25*'Ipotesi BP'!C40/60+D25*'Ipotesi BP'!C41/60+'Ipotesi BP'!C44</x:f>
        <x:v>42.03183089394217</x:v>
      </x:c>
      <x:c r="AM25" s="18" t="n">
        <x:f>'Ipotesi BP'!C42+'Ipotesi BP'!C22*'Ipotesi BP'!C43</x:f>
        <x:v>100</x:v>
      </x:c>
      <x:c r="AN25" s="17" t="n">
        <x:f>MAX(0,AL25-AM25)</x:f>
        <x:v>0</x:v>
      </x:c>
      <x:c r="AO25" s="18" t="n">
        <x:f>AO24-MAX(0,AO24)+(H25-I25-G25*'Ipotesi BP'!C19-L25-M25-P25-Q25+'Ipotesi BP'!C27/12-X25)*'Ipotesi BP'!C34</x:f>
        <x:v>-6843.981475216247</x:v>
      </x:c>
    </x:row>
    <x:row r="26" ht="25" customHeight="1">
      <x:c r="A26" s="17" t="n">
        <x:f>21</x:f>
        <x:v>21</x:v>
      </x:c>
      <x:c r="B26" s="26" t="n">
        <x:f>2028</x:f>
        <x:v>2028</x:v>
      </x:c>
      <x:c r="C26" s="27" t="n">
        <x:f>F25</x:f>
        <x:v>133.46548693987373</x:v>
      </x:c>
      <x:c r="D26" s="28" t="n">
        <x:f>('Ipotesi BP'!C9/'Ipotesi BP'!C10*'Ipotesi BP'!C11+'Ipotesi BP'!C13+'Ipotesi BP'!C15+'Ipotesi BP'!C17)/12*'Ipotesi BP'!C45</x:f>
        <x:v>11.75</x:v>
      </x:c>
      <x:c r="E26" s="28" t="n">
        <x:f>C26*'Ipotesi BP'!C8</x:f>
        <x:v>2.6693097387974745</x:v>
      </x:c>
      <x:c r="F26" s="27" t="n">
        <x:f>C26+D26-E26</x:f>
        <x:v>142.54617720107626</x:v>
      </x:c>
      <x:c r="G26" s="27" t="n">
        <x:f>(C26+F26)/2</x:f>
        <x:v>138.00583207047498</x:v>
      </x:c>
      <x:c r="H26" s="18" t="n">
        <x:f>G26*'Ipotesi BP'!C6</x:f>
        <x:v>10902.460733567523</x:v>
      </x:c>
      <x:c r="I26" s="18" t="n">
        <x:f>G26*'Ipotesi BP'!C7</x:f>
        <x:v>7107.300351629461</x:v>
      </x:c>
      <x:c r="J26" s="18" t="n">
        <x:f>G26*('Ipotesi BP'!C6*(1+'Ipotesi BP'!C34)*'Ipotesi BP'!C35+'Ipotesi BP'!C36)</x:f>
        <x:v>234.0164894419044</x:v>
      </x:c>
      <x:c r="K26" s="18" t="n">
        <x:f>G26*'Ipotesi BP'!C19+H26*'Ipotesi BP'!C20</x:f>
        <x:v>385.0362714766252</x:v>
      </x:c>
      <x:c r="L26" s="18" t="n">
        <x:f>D26*'Ipotesi BP'!C18</x:f>
        <x:v>282</x:v>
      </x:c>
      <x:c r="M26" s="18" t="n">
        <x:f>('Ipotesi BP'!C9+'Ipotesi BP'!C12+'Ipotesi BP'!C14+'Ipotesi BP'!C16)/12</x:f>
        <x:v>1600</x:v>
      </x:c>
      <x:c r="N26" s="18" t="n">
        <x:f>'Ipotesi BP'!C21/12</x:f>
        <x:v>2500</x:v>
      </x:c>
      <x:c r="O26" s="18" t="n">
        <x:f>'Ipotesi BP'!C22*'Ipotesi BP'!C23/12</x:f>
        <x:v>1545</x:v>
      </x:c>
      <x:c r="P26" s="18" t="n">
        <x:f>'Ipotesi BP'!C24/12</x:f>
        <x:v>750</x:v>
      </x:c>
      <x:c r="Q26" s="18" t="n">
        <x:f>SUM('Ipotesi BP'!C25:C29)/12</x:f>
        <x:v>1225</x:v>
      </x:c>
      <x:c r="R26" s="17" t="n">
        <x:f>0</x:f>
        <x:v>0</x:v>
      </x:c>
      <x:c r="S26" s="17" t="n">
        <x:f>H26-SUM(I26:R26)</x:f>
        <x:v>-4725.892378980467</x:v>
      </x:c>
      <x:c r="T26" s="17" t="n">
        <x:f>SUM(X6:X26)/36</x:f>
        <x:v>55.55555555555556</x:v>
      </x:c>
      <x:c r="U26" s="17" t="n">
        <x:f>S26-T26</x:f>
        <x:v>-4781.447934536022</x:v>
      </x:c>
      <x:c r="V26" s="18" t="n">
        <x:f>MAX(0,U26)*'Ipotesi BP'!C38+MAX(0,U26+N26)*'Ipotesi BP'!C39</x:f>
        <x:v>0</x:v>
      </x:c>
      <x:c r="W26" s="17" t="n">
        <x:f>U26-V26</x:f>
        <x:v>-4781.447934536022</x:v>
      </x:c>
      <x:c r="X26" s="17" t="n">
        <x:f>0</x:f>
        <x:v>0</x:v>
      </x:c>
      <x:c r="Y26" s="18" t="n">
        <x:f>H26*(1+'Ipotesi BP'!C34)*'Ipotesi BP'!C37/30</x:f>
        <x:v>886.7334729968251</x:v>
      </x:c>
      <x:c r="Z26" s="17" t="n">
        <x:f>MAX(0,-AO26)</x:f>
        <x:v>6885.3087573008825</x:v>
      </x:c>
      <x:c r="AA26" s="17" t="n">
        <x:f>MAX(0,AO26)</x:f>
        <x:v>0</x:v>
      </x:c>
      <x:c r="AB26" s="17" t="n">
        <x:f>Y26+Z26-AA26-Y25-Z25+AA25</x:f>
        <x:v>100.26911596905302</x:v>
      </x:c>
      <x:c r="AC26" s="17" t="n">
        <x:f>W26+T26-AB26</x:f>
        <x:v>-4826.16149494952</x:v>
      </x:c>
      <x:c r="AD26" s="17" t="n">
        <x:f>0</x:f>
        <x:v>0</x:v>
      </x:c>
      <x:c r="AE26" s="17" t="n">
        <x:f>0</x:f>
        <x:v>0</x:v>
      </x:c>
      <x:c r="AF26" s="17" t="n">
        <x:f>AF25+AC26-X26+AD26+AE26</x:f>
        <x:v>35915.049149072416</x:v>
      </x:c>
      <x:c r="AG26" s="17" t="n">
        <x:f>AG25+AC26-X26+AD26</x:f>
        <x:v>-74084.95085092759</x:v>
      </x:c>
      <x:c r="AH26" s="17" t="n">
        <x:f>SUM($X$6:X26)-SUM($T$6:T26)</x:f>
        <x:v>1000</x:v>
      </x:c>
      <x:c r="AI26" s="17" t="n">
        <x:f>SUM($W$6:W26)</x:f>
        <x:v>-75312.90862062988</x:v>
      </x:c>
      <x:c r="AJ26" s="17" t="n">
        <x:f>SUM($AD$6:AE26)</x:f>
        <x:v>120000</x:v>
      </x:c>
      <x:c r="AK26" s="17" t="n">
        <x:f>AF26+Y26+Z26+AH26-AA26-AI26-AJ26</x:f>
        <x:v>0</x:v>
      </x:c>
      <x:c r="AL26" s="18" t="n">
        <x:f>G26*'Ipotesi BP'!C40/60+D26*'Ipotesi BP'!C41/60+'Ipotesi BP'!C44</x:f>
        <x:v>43.25494427606333</x:v>
      </x:c>
      <x:c r="AM26" s="18" t="n">
        <x:f>'Ipotesi BP'!C42+'Ipotesi BP'!C22*'Ipotesi BP'!C43</x:f>
        <x:v>100</x:v>
      </x:c>
      <x:c r="AN26" s="17" t="n">
        <x:f>MAX(0,AL26-AM26)</x:f>
        <x:v>0</x:v>
      </x:c>
      <x:c r="AO26" s="18" t="n">
        <x:f>AO25-MAX(0,AO25)+(H26-I26-G26*'Ipotesi BP'!C19-L26-M26-P26-Q26+'Ipotesi BP'!C27/12-X26)*'Ipotesi BP'!C34</x:f>
        <x:v>-6885.3087573008825</x:v>
      </x:c>
    </x:row>
    <x:row r="27" ht="25" customHeight="1">
      <x:c r="A27" s="17" t="n">
        <x:f>22</x:f>
        <x:v>22</x:v>
      </x:c>
      <x:c r="B27" s="26" t="n">
        <x:f>2028</x:f>
        <x:v>2028</x:v>
      </x:c>
      <x:c r="C27" s="27" t="n">
        <x:f>F26</x:f>
        <x:v>142.54617720107626</x:v>
      </x:c>
      <x:c r="D27" s="28" t="n">
        <x:f>('Ipotesi BP'!C9/'Ipotesi BP'!C10*'Ipotesi BP'!C11+'Ipotesi BP'!C13+'Ipotesi BP'!C15+'Ipotesi BP'!C17)/12*'Ipotesi BP'!C45</x:f>
        <x:v>11.75</x:v>
      </x:c>
      <x:c r="E27" s="28" t="n">
        <x:f>C27*'Ipotesi BP'!C8</x:f>
        <x:v>2.8509235440215255</x:v>
      </x:c>
      <x:c r="F27" s="27" t="n">
        <x:f>C27+D27-E27</x:f>
        <x:v>151.44525365705474</x:v>
      </x:c>
      <x:c r="G27" s="27" t="n">
        <x:f>(C27+F27)/2</x:f>
        <x:v>146.9957154290655</x:v>
      </x:c>
      <x:c r="H27" s="18" t="n">
        <x:f>G27*'Ipotesi BP'!C6</x:f>
        <x:v>11612.661518896175</x:v>
      </x:c>
      <x:c r="I27" s="18" t="n">
        <x:f>G27*'Ipotesi BP'!C7</x:f>
        <x:v>7570.279344596874</x:v>
      </x:c>
      <x:c r="J27" s="18" t="n">
        <x:f>G27*('Ipotesi BP'!C6*(1+'Ipotesi BP'!C34)*'Ipotesi BP'!C35+'Ipotesi BP'!C36)</x:f>
        <x:v>249.26063465306638</x:v>
      </x:c>
      <x:c r="K27" s="18" t="n">
        <x:f>G27*'Ipotesi BP'!C19+H27*'Ipotesi BP'!C20</x:f>
        <x:v>410.1180460470928</x:v>
      </x:c>
      <x:c r="L27" s="18" t="n">
        <x:f>D27*'Ipotesi BP'!C18</x:f>
        <x:v>282</x:v>
      </x:c>
      <x:c r="M27" s="18" t="n">
        <x:f>('Ipotesi BP'!C9+'Ipotesi BP'!C12+'Ipotesi BP'!C14+'Ipotesi BP'!C16)/12</x:f>
        <x:v>1600</x:v>
      </x:c>
      <x:c r="N27" s="18" t="n">
        <x:f>'Ipotesi BP'!C21/12</x:f>
        <x:v>2500</x:v>
      </x:c>
      <x:c r="O27" s="18" t="n">
        <x:f>'Ipotesi BP'!C22*'Ipotesi BP'!C23/12</x:f>
        <x:v>1545</x:v>
      </x:c>
      <x:c r="P27" s="18" t="n">
        <x:f>'Ipotesi BP'!C24/12</x:f>
        <x:v>750</x:v>
      </x:c>
      <x:c r="Q27" s="18" t="n">
        <x:f>SUM('Ipotesi BP'!C25:C29)/12</x:f>
        <x:v>1225</x:v>
      </x:c>
      <x:c r="R27" s="17" t="n">
        <x:f>0</x:f>
        <x:v>0</x:v>
      </x:c>
      <x:c r="S27" s="17" t="n">
        <x:f>H27-SUM(I27:R27)</x:f>
        <x:v>-4518.9965064008575</x:v>
      </x:c>
      <x:c r="T27" s="17" t="n">
        <x:f>SUM(X6:X27)/36</x:f>
        <x:v>55.55555555555556</x:v>
      </x:c>
      <x:c r="U27" s="17" t="n">
        <x:f>S27-T27</x:f>
        <x:v>-4574.552061956413</x:v>
      </x:c>
      <x:c r="V27" s="18" t="n">
        <x:f>MAX(0,U27)*'Ipotesi BP'!C38+MAX(0,U27+N27)*'Ipotesi BP'!C39</x:f>
        <x:v>0</x:v>
      </x:c>
      <x:c r="W27" s="17" t="n">
        <x:f>U27-V27</x:f>
        <x:v>-4574.552061956413</x:v>
      </x:c>
      <x:c r="X27" s="17" t="n">
        <x:f>0</x:f>
        <x:v>0</x:v>
      </x:c>
      <x:c r="Y27" s="18" t="n">
        <x:f>H27*(1+'Ipotesi BP'!C34)*'Ipotesi BP'!C37/30</x:f>
        <x:v>944.4964702035555</x:v>
      </x:c>
      <x:c r="Z27" s="17" t="n">
        <x:f>MAX(0,-AO27)</x:f>
        <x:v>6876.202793743825</x:v>
      </x:c>
      <x:c r="AA27" s="17" t="n">
        <x:f>MAX(0,AO27)</x:f>
        <x:v>0</x:v>
      </x:c>
      <x:c r="AB27" s="17" t="n">
        <x:f>Y27+Z27-AA27-Y26-Z26+AA26</x:f>
        <x:v>48.657033649673394</x:v>
      </x:c>
      <x:c r="AC27" s="17" t="n">
        <x:f>W27+T27-AB27</x:f>
        <x:v>-4567.653540050531</x:v>
      </x:c>
      <x:c r="AD27" s="17" t="n">
        <x:f>0</x:f>
        <x:v>0</x:v>
      </x:c>
      <x:c r="AE27" s="17" t="n">
        <x:f>0</x:f>
        <x:v>0</x:v>
      </x:c>
      <x:c r="AF27" s="17" t="n">
        <x:f>AF26+AC27-X27+AD27+AE27</x:f>
        <x:v>31347.395609021885</x:v>
      </x:c>
      <x:c r="AG27" s="17" t="n">
        <x:f>AG26+AC27-X27+AD27</x:f>
        <x:v>-78652.60439097811</x:v>
      </x:c>
      <x:c r="AH27" s="17" t="n">
        <x:f>SUM($X$6:X27)-SUM($T$6:T27)</x:f>
        <x:v>944.4444444444443</x:v>
      </x:c>
      <x:c r="AI27" s="17" t="n">
        <x:f>SUM($W$6:W27)</x:f>
        <x:v>-79887.4606825863</x:v>
      </x:c>
      <x:c r="AJ27" s="17" t="n">
        <x:f>SUM($AD$6:AE27)</x:f>
        <x:v>120000</x:v>
      </x:c>
      <x:c r="AK27" s="17" t="n">
        <x:f>AF27+Y27+Z27+AH27-AA27-AI27-AJ27</x:f>
        <x:v>0</x:v>
      </x:c>
      <x:c r="AL27" s="18" t="n">
        <x:f>G27*'Ipotesi BP'!C40/60+D27*'Ipotesi BP'!C41/60+'Ipotesi BP'!C44</x:f>
        <x:v>44.45359539054207</x:v>
      </x:c>
      <x:c r="AM27" s="18" t="n">
        <x:f>'Ipotesi BP'!C42+'Ipotesi BP'!C22*'Ipotesi BP'!C43</x:f>
        <x:v>100</x:v>
      </x:c>
      <x:c r="AN27" s="17" t="n">
        <x:f>MAX(0,AL27-AM27)</x:f>
        <x:v>0</x:v>
      </x:c>
      <x:c r="AO27" s="18" t="n">
        <x:f>AO26-MAX(0,AO26)+(H27-I27-G27*'Ipotesi BP'!C19-L27-M27-P27-Q27+'Ipotesi BP'!C27/12-X27)*'Ipotesi BP'!C34</x:f>
        <x:v>-6876.202793743825</x:v>
      </x:c>
    </x:row>
    <x:row r="28" ht="25" customHeight="1">
      <x:c r="A28" s="17" t="n">
        <x:f>23</x:f>
        <x:v>23</x:v>
      </x:c>
      <x:c r="B28" s="26" t="n">
        <x:f>2028</x:f>
        <x:v>2028</x:v>
      </x:c>
      <x:c r="C28" s="27" t="n">
        <x:f>F27</x:f>
        <x:v>151.44525365705474</x:v>
      </x:c>
      <x:c r="D28" s="28" t="n">
        <x:f>('Ipotesi BP'!C9/'Ipotesi BP'!C10*'Ipotesi BP'!C11+'Ipotesi BP'!C13+'Ipotesi BP'!C15+'Ipotesi BP'!C17)/12*'Ipotesi BP'!C45</x:f>
        <x:v>11.75</x:v>
      </x:c>
      <x:c r="E28" s="28" t="n">
        <x:f>C28*'Ipotesi BP'!C8</x:f>
        <x:v>3.028905073141095</x:v>
      </x:c>
      <x:c r="F28" s="27" t="n">
        <x:f>C28+D28-E28</x:f>
        <x:v>160.16634858391365</x:v>
      </x:c>
      <x:c r="G28" s="27" t="n">
        <x:f>(C28+F28)/2</x:f>
        <x:v>155.8058011204842</x:v>
      </x:c>
      <x:c r="H28" s="18" t="n">
        <x:f>G28*'Ipotesi BP'!C6</x:f>
        <x:v>12308.658288518252</x:v>
      </x:c>
      <x:c r="I28" s="18" t="n">
        <x:f>G28*'Ipotesi BP'!C7</x:f>
        <x:v>8023.998757704937</x:v>
      </x:c>
      <x:c r="J28" s="18" t="n">
        <x:f>G28*('Ipotesi BP'!C6*(1+'Ipotesi BP'!C34)*'Ipotesi BP'!C35+'Ipotesi BP'!C36)</x:f>
        <x:v>264.19989696000505</x:v>
      </x:c>
      <x:c r="K28" s="18" t="n">
        <x:f>G28*'Ipotesi BP'!C19+H28*'Ipotesi BP'!C20</x:f>
        <x:v>434.6981851261509</x:v>
      </x:c>
      <x:c r="L28" s="18" t="n">
        <x:f>D28*'Ipotesi BP'!C18</x:f>
        <x:v>282</x:v>
      </x:c>
      <x:c r="M28" s="18" t="n">
        <x:f>('Ipotesi BP'!C9+'Ipotesi BP'!C12+'Ipotesi BP'!C14+'Ipotesi BP'!C16)/12</x:f>
        <x:v>1600</x:v>
      </x:c>
      <x:c r="N28" s="18" t="n">
        <x:f>'Ipotesi BP'!C21/12</x:f>
        <x:v>2500</x:v>
      </x:c>
      <x:c r="O28" s="18" t="n">
        <x:f>'Ipotesi BP'!C22*'Ipotesi BP'!C23/12</x:f>
        <x:v>1545</x:v>
      </x:c>
      <x:c r="P28" s="18" t="n">
        <x:f>'Ipotesi BP'!C24/12</x:f>
        <x:v>750</x:v>
      </x:c>
      <x:c r="Q28" s="18" t="n">
        <x:f>SUM('Ipotesi BP'!C25:C29)/12</x:f>
        <x:v>1225</x:v>
      </x:c>
      <x:c r="R28" s="17" t="n">
        <x:f>0</x:f>
        <x:v>0</x:v>
      </x:c>
      <x:c r="S28" s="17" t="n">
        <x:f>H28-SUM(I28:R28)</x:f>
        <x:v>-4316.2385512728415</x:v>
      </x:c>
      <x:c r="T28" s="17" t="n">
        <x:f>SUM(X6:X28)/36</x:f>
        <x:v>55.55555555555556</x:v>
      </x:c>
      <x:c r="U28" s="17" t="n">
        <x:f>S28-T28</x:f>
        <x:v>-4371.794106828397</x:v>
      </x:c>
      <x:c r="V28" s="18" t="n">
        <x:f>MAX(0,U28)*'Ipotesi BP'!C38+MAX(0,U28+N28)*'Ipotesi BP'!C39</x:f>
        <x:v>0</x:v>
      </x:c>
      <x:c r="W28" s="17" t="n">
        <x:f>U28-V28</x:f>
        <x:v>-4371.794106828397</x:v>
      </x:c>
      <x:c r="X28" s="17" t="n">
        <x:f>0</x:f>
        <x:v>0</x:v>
      </x:c>
      <x:c r="Y28" s="18" t="n">
        <x:f>H28*(1+'Ipotesi BP'!C34)*'Ipotesi BP'!C37/30</x:f>
        <x:v>1001.1042074661511</x:v>
      </x:c>
      <x:c r="Z28" s="17" t="n">
        <x:f>MAX(0,-AO28)</x:f>
        <x:v>6817.672249457909</x:v>
      </x:c>
      <x:c r="AA28" s="17" t="n">
        <x:f>MAX(0,AO28)</x:f>
        <x:v>0</x:v>
      </x:c>
      <x:c r="AB28" s="17" t="n">
        <x:f>Y28+Z28-AA28-Y27-Z27+AA27</x:f>
        <x:v>-1.9228070233211838</x:v>
      </x:c>
      <x:c r="AC28" s="17" t="n">
        <x:f>W28+T28-AB28</x:f>
        <x:v>-4314.31574424952</x:v>
      </x:c>
      <x:c r="AD28" s="17" t="n">
        <x:f>0</x:f>
        <x:v>0</x:v>
      </x:c>
      <x:c r="AE28" s="17" t="n">
        <x:f>0</x:f>
        <x:v>0</x:v>
      </x:c>
      <x:c r="AF28" s="17" t="n">
        <x:f>AF27+AC28-X28+AD28+AE28</x:f>
        <x:v>27033.079864772364</x:v>
      </x:c>
      <x:c r="AG28" s="17" t="n">
        <x:f>AG27+AC28-X28+AD28</x:f>
        <x:v>-82966.92013522763</x:v>
      </x:c>
      <x:c r="AH28" s="17" t="n">
        <x:f>SUM($X$6:X28)-SUM($T$6:T28)</x:f>
        <x:v>888.8888888888887</x:v>
      </x:c>
      <x:c r="AI28" s="17" t="n">
        <x:f>SUM($W$6:W28)</x:f>
        <x:v>-84259.2547894147</x:v>
      </x:c>
      <x:c r="AJ28" s="17" t="n">
        <x:f>SUM($AD$6:AE28)</x:f>
        <x:v>120000</x:v>
      </x:c>
      <x:c r="AK28" s="17" t="n">
        <x:f>AF28+Y28+Z28+AH28-AA28-AI28-AJ28</x:f>
        <x:v>1.4551915228366852e-11</x:v>
      </x:c>
      <x:c r="AL28" s="18" t="n">
        <x:f>G28*'Ipotesi BP'!C40/60+D28*'Ipotesi BP'!C41/60+'Ipotesi BP'!C44</x:f>
        <x:v>45.62827348273123</x:v>
      </x:c>
      <x:c r="AM28" s="18" t="n">
        <x:f>'Ipotesi BP'!C42+'Ipotesi BP'!C22*'Ipotesi BP'!C43</x:f>
        <x:v>100</x:v>
      </x:c>
      <x:c r="AN28" s="17" t="n">
        <x:f>MAX(0,AL28-AM28)</x:f>
        <x:v>0</x:v>
      </x:c>
      <x:c r="AO28" s="18" t="n">
        <x:f>AO27-MAX(0,AO27)+(H28-I28-G28*'Ipotesi BP'!C19-L28-M28-P28-Q28+'Ipotesi BP'!C27/12-X28)*'Ipotesi BP'!C34</x:f>
        <x:v>-6817.672249457909</x:v>
      </x:c>
    </x:row>
    <x:row r="29" ht="25" customHeight="1">
      <x:c r="A29" s="17" t="n">
        <x:f>24</x:f>
        <x:v>24</x:v>
      </x:c>
      <x:c r="B29" s="26" t="n">
        <x:f>2028</x:f>
        <x:v>2028</x:v>
      </x:c>
      <x:c r="C29" s="27" t="n">
        <x:f>F28</x:f>
        <x:v>160.16634858391365</x:v>
      </x:c>
      <x:c r="D29" s="28" t="n">
        <x:f>('Ipotesi BP'!C9/'Ipotesi BP'!C10*'Ipotesi BP'!C11+'Ipotesi BP'!C13+'Ipotesi BP'!C15+'Ipotesi BP'!C17)/12*'Ipotesi BP'!C45</x:f>
        <x:v>11.75</x:v>
      </x:c>
      <x:c r="E29" s="28" t="n">
        <x:f>C29*'Ipotesi BP'!C8</x:f>
        <x:v>3.203326971678273</x:v>
      </x:c>
      <x:c r="F29" s="27" t="n">
        <x:f>C29+D29-E29</x:f>
        <x:v>168.71302161223537</x:v>
      </x:c>
      <x:c r="G29" s="27" t="n">
        <x:f>(C29+F29)/2</x:f>
        <x:v>164.4396850980745</x:v>
      </x:c>
      <x:c r="H29" s="18" t="n">
        <x:f>G29*'Ipotesi BP'!C6</x:f>
        <x:v>12990.735122747887</x:v>
      </x:c>
      <x:c r="I29" s="18" t="n">
        <x:f>G29*'Ipotesi BP'!C7</x:f>
        <x:v>8468.643782550836</x:v>
      </x:c>
      <x:c r="J29" s="18" t="n">
        <x:f>G29*('Ipotesi BP'!C6*(1+'Ipotesi BP'!C34)*'Ipotesi BP'!C35+'Ipotesi BP'!C36)</x:f>
        <x:v>278.8403740208049</x:v>
      </x:c>
      <x:c r="K29" s="18" t="n">
        <x:f>G29*'Ipotesi BP'!C19+H29*'Ipotesi BP'!C20</x:f>
        <x:v>458.7867214236279</x:v>
      </x:c>
      <x:c r="L29" s="18" t="n">
        <x:f>D29*'Ipotesi BP'!C18</x:f>
        <x:v>282</x:v>
      </x:c>
      <x:c r="M29" s="18" t="n">
        <x:f>('Ipotesi BP'!C9+'Ipotesi BP'!C12+'Ipotesi BP'!C14+'Ipotesi BP'!C16)/12</x:f>
        <x:v>1600</x:v>
      </x:c>
      <x:c r="N29" s="18" t="n">
        <x:f>'Ipotesi BP'!C21/12</x:f>
        <x:v>2500</x:v>
      </x:c>
      <x:c r="O29" s="18" t="n">
        <x:f>'Ipotesi BP'!C22*'Ipotesi BP'!C23/12</x:f>
        <x:v>1545</x:v>
      </x:c>
      <x:c r="P29" s="18" t="n">
        <x:f>'Ipotesi BP'!C24/12</x:f>
        <x:v>750</x:v>
      </x:c>
      <x:c r="Q29" s="18" t="n">
        <x:f>SUM('Ipotesi BP'!C25:C29)/12</x:f>
        <x:v>1225</x:v>
      </x:c>
      <x:c r="R29" s="17" t="n">
        <x:f>0</x:f>
        <x:v>0</x:v>
      </x:c>
      <x:c r="S29" s="17" t="n">
        <x:f>H29-SUM(I29:R29)</x:f>
        <x:v>-4117.535755247383</x:v>
      </x:c>
      <x:c r="T29" s="17" t="n">
        <x:f>SUM(X6:X29)/36</x:f>
        <x:v>55.55555555555556</x:v>
      </x:c>
      <x:c r="U29" s="17" t="n">
        <x:f>S29-T29</x:f>
        <x:v>-4173.091310802939</x:v>
      </x:c>
      <x:c r="V29" s="18" t="n">
        <x:f>MAX(0,U29)*'Ipotesi BP'!C38+MAX(0,U29+N29)*'Ipotesi BP'!C39</x:f>
        <x:v>0</x:v>
      </x:c>
      <x:c r="W29" s="17" t="n">
        <x:f>U29-V29</x:f>
        <x:v>-4173.091310802939</x:v>
      </x:c>
      <x:c r="X29" s="17" t="n">
        <x:f>0</x:f>
        <x:v>0</x:v>
      </x:c>
      <x:c r="Y29" s="18" t="n">
        <x:f>H29*(1+'Ipotesi BP'!C34)*'Ipotesi BP'!C37/30</x:f>
        <x:v>1056.5797899834947</x:v>
      </x:c>
      <x:c r="Z29" s="17" t="n">
        <x:f>MAX(0,-AO29)</x:f>
        <x:v>6710.70561605771</x:v>
      </x:c>
      <x:c r="AA29" s="17" t="n">
        <x:f>MAX(0,AO29)</x:f>
        <x:v>0</x:v>
      </x:c>
      <x:c r="AB29" s="17" t="n">
        <x:f>Y29+Z29-AA29-Y28-Z28+AA28</x:f>
        <x:v>-51.491050882855234</x:v>
      </x:c>
      <x:c r="AC29" s="17" t="n">
        <x:f>W29+T29-AB29</x:f>
        <x:v>-4066.044704364528</x:v>
      </x:c>
      <x:c r="AD29" s="17" t="n">
        <x:f>0</x:f>
        <x:v>0</x:v>
      </x:c>
      <x:c r="AE29" s="17" t="n">
        <x:f>0</x:f>
        <x:v>0</x:v>
      </x:c>
      <x:c r="AF29" s="17" t="n">
        <x:f>AF28+AC29-X29+AD29+AE29</x:f>
        <x:v>22967.035160407835</x:v>
      </x:c>
      <x:c r="AG29" s="17" t="n">
        <x:f>AG28+AC29-X29+AD29</x:f>
        <x:v>-87032.96483959215</x:v>
      </x:c>
      <x:c r="AH29" s="17" t="n">
        <x:f>SUM($X$6:X29)-SUM($T$6:T29)</x:f>
        <x:v>833.333333333333</x:v>
      </x:c>
      <x:c r="AI29" s="17" t="n">
        <x:f>SUM($W$6:W29)</x:f>
        <x:v>-88432.34610021763</x:v>
      </x:c>
      <x:c r="AJ29" s="17" t="n">
        <x:f>SUM($AD$6:AE29)</x:f>
        <x:v>120000</x:v>
      </x:c>
      <x:c r="AK29" s="17" t="n">
        <x:f>AF29+Y29+Z29+AH29-AA29-AI29-AJ29</x:f>
        <x:v>0</x:v>
      </x:c>
      <x:c r="AL29" s="18" t="n">
        <x:f>G29*'Ipotesi BP'!C40/60+D29*'Ipotesi BP'!C41/60+'Ipotesi BP'!C44</x:f>
        <x:v>46.77945801307661</x:v>
      </x:c>
      <x:c r="AM29" s="18" t="n">
        <x:f>'Ipotesi BP'!C42+'Ipotesi BP'!C22*'Ipotesi BP'!C43</x:f>
        <x:v>100</x:v>
      </x:c>
      <x:c r="AN29" s="17" t="n">
        <x:f>MAX(0,AL29-AM29)</x:f>
        <x:v>0</x:v>
      </x:c>
      <x:c r="AO29" s="18" t="n">
        <x:f>AO28-MAX(0,AO28)+(H29-I29-G29*'Ipotesi BP'!C19-L29-M29-P29-Q29+'Ipotesi BP'!C27/12-X29)*'Ipotesi BP'!C34</x:f>
        <x:v>-6710.70561605771</x:v>
      </x:c>
    </x:row>
    <x:row r="30" ht="25" customHeight="1">
      <x:c r="A30" s="17" t="n">
        <x:f>25</x:f>
        <x:v>25</x:v>
      </x:c>
      <x:c r="B30" s="26" t="n">
        <x:f>2029</x:f>
        <x:v>2029</x:v>
      </x:c>
      <x:c r="C30" s="27" t="n">
        <x:f>F29</x:f>
        <x:v>168.71302161223537</x:v>
      </x:c>
      <x:c r="D30" s="28" t="n">
        <x:f>('Ipotesi BP'!D9/'Ipotesi BP'!D10*'Ipotesi BP'!D11+'Ipotesi BP'!D13+'Ipotesi BP'!D15+'Ipotesi BP'!D17)/12*'Ipotesi BP'!D45</x:f>
        <x:v>21.5</x:v>
      </x:c>
      <x:c r="E30" s="28" t="n">
        <x:f>C30*'Ipotesi BP'!D8</x:f>
        <x:v>3.374260432244707</x:v>
      </x:c>
      <x:c r="F30" s="27" t="n">
        <x:f>C30+D30-E30</x:f>
        <x:v>186.83876117999066</x:v>
      </x:c>
      <x:c r="G30" s="27" t="n">
        <x:f>(C30+F30)/2</x:f>
        <x:v>177.77589139611302</x:v>
      </x:c>
      <x:c r="H30" s="18" t="n">
        <x:f>G30*'Ipotesi BP'!D6</x:f>
        <x:v>14044.295420292929</x:v>
      </x:c>
      <x:c r="I30" s="18" t="n">
        <x:f>G30*'Ipotesi BP'!D7</x:f>
        <x:v>9431.011038563796</x:v>
      </x:c>
      <x:c r="J30" s="18" t="n">
        <x:f>G30*('Ipotesi BP'!D6*(1+'Ipotesi BP'!D34)*'Ipotesi BP'!D35+'Ipotesi BP'!D36)</x:f>
        <x:v>301.45457904038886</x:v>
      </x:c>
      <x:c r="K30" s="18" t="n">
        <x:f>G30*'Ipotesi BP'!D19+H30*'Ipotesi BP'!D20</x:f>
        <x:v>495.99473699515534</x:v>
      </x:c>
      <x:c r="L30" s="18" t="n">
        <x:f>D30*'Ipotesi BP'!D18</x:f>
        <x:v>516</x:v>
      </x:c>
      <x:c r="M30" s="18" t="n">
        <x:f>('Ipotesi BP'!D9+'Ipotesi BP'!D12+'Ipotesi BP'!D14+'Ipotesi BP'!D16)/12</x:f>
        <x:v>2850</x:v>
      </x:c>
      <x:c r="N30" s="18" t="n">
        <x:f>'Ipotesi BP'!D21/12</x:f>
        <x:v>3000</x:v>
      </x:c>
      <x:c r="O30" s="18" t="n">
        <x:f>'Ipotesi BP'!D22*'Ipotesi BP'!D23/12</x:f>
        <x:v>3182.6666666666665</x:v>
      </x:c>
      <x:c r="P30" s="18" t="n">
        <x:f>'Ipotesi BP'!D24/12</x:f>
        <x:v>1000</x:v>
      </x:c>
      <x:c r="Q30" s="18" t="n">
        <x:f>SUM('Ipotesi BP'!D25:D29)/12</x:f>
        <x:v>1516.6666666666667</x:v>
      </x:c>
      <x:c r="R30" s="18" t="n">
        <x:f>'Ipotesi BP'!D30</x:f>
        <x:v>0</x:v>
      </x:c>
      <x:c r="S30" s="17" t="n">
        <x:f>H30-SUM(I30:R30)</x:f>
        <x:v>-8249.498267639745</x:v>
      </x:c>
      <x:c r="T30" s="17" t="n">
        <x:f>SUM(X6:X30)/36</x:f>
        <x:v>69.44444444444444</x:v>
      </x:c>
      <x:c r="U30" s="17" t="n">
        <x:f>S30-T30</x:f>
        <x:v>-8318.94271208419</x:v>
      </x:c>
      <x:c r="V30" s="18" t="n">
        <x:f>MAX(0,U30)*'Ipotesi BP'!D38+MAX(0,U30+N30)*'Ipotesi BP'!D39</x:f>
        <x:v>0</x:v>
      </x:c>
      <x:c r="W30" s="17" t="n">
        <x:f>U30-V30</x:f>
        <x:v>-8318.94271208419</x:v>
      </x:c>
      <x:c r="X30" s="18" t="n">
        <x:f>'Ipotesi BP'!D31</x:f>
        <x:v>500</x:v>
      </x:c>
      <x:c r="Y30" s="18" t="n">
        <x:f>H30*(1+'Ipotesi BP'!D34)*'Ipotesi BP'!D37/30</x:f>
        <x:v>1142.2693608504915</x:v>
      </x:c>
      <x:c r="Z30" s="17" t="n">
        <x:f>MAX(0,-AO30)</x:f>
        <x:v>7134.191110958258</x:v>
      </x:c>
      <x:c r="AA30" s="17" t="n">
        <x:f>MAX(0,AO30)</x:f>
        <x:v>0</x:v>
      </x:c>
      <x:c r="AB30" s="17" t="n">
        <x:f>Y30+Z30-AA30-Y29-Z29+AA29</x:f>
        <x:v>509.1750657675457</x:v>
      </x:c>
      <x:c r="AC30" s="17" t="n">
        <x:f>W30+T30-AB30</x:f>
        <x:v>-8758.67333340729</x:v>
      </x:c>
      <x:c r="AD30" s="18" t="n">
        <x:f>'Ipotesi BP'!D32</x:f>
        <x:v>0</x:v>
      </x:c>
      <x:c r="AE30" s="18" t="n">
        <x:f>'Ipotesi BP'!D33</x:f>
        <x:v>70000</x:v>
      </x:c>
      <x:c r="AF30" s="17" t="n">
        <x:f>AF29+AC30-X30+AD30+AE30</x:f>
        <x:v>83708.36182700054</x:v>
      </x:c>
      <x:c r="AG30" s="17" t="n">
        <x:f>AG29+AC30-X30+AD30</x:f>
        <x:v>-96291.63817299945</x:v>
      </x:c>
      <x:c r="AH30" s="17" t="n">
        <x:f>SUM($X$6:X30)-SUM($T$6:T30)</x:f>
        <x:v>1263.8888888888887</x:v>
      </x:c>
      <x:c r="AI30" s="17" t="n">
        <x:f>SUM($W$6:W30)</x:f>
        <x:v>-96751.28881230182</x:v>
      </x:c>
      <x:c r="AJ30" s="17" t="n">
        <x:f>SUM($AD$6:AE30)</x:f>
        <x:v>190000</x:v>
      </x:c>
      <x:c r="AK30" s="17" t="n">
        <x:f>AF30+Y30+Z30+AH30-AA30-AI30-AJ30</x:f>
        <x:v>0</x:v>
      </x:c>
      <x:c r="AL30" s="18" t="n">
        <x:f>G30*'Ipotesi BP'!D40/60+D30*'Ipotesi BP'!D41/60+'Ipotesi BP'!D44</x:f>
        <x:v>60.24511885281507</x:v>
      </x:c>
      <x:c r="AM30" s="18" t="n">
        <x:f>'Ipotesi BP'!D42+'Ipotesi BP'!D22*'Ipotesi BP'!D43</x:f>
        <x:v>160</x:v>
      </x:c>
      <x:c r="AN30" s="17" t="n">
        <x:f>MAX(0,AL30-AM30)</x:f>
        <x:v>0</x:v>
      </x:c>
      <x:c r="AO30" s="18" t="n">
        <x:f>AO29-MAX(0,AO29)+(H30-I30-G30*'Ipotesi BP'!D19-L30-M30-P30-Q30+'Ipotesi BP'!D27/12-X30)*'Ipotesi BP'!D34</x:f>
        <x:v>-7134.191110958258</x:v>
      </x:c>
    </x:row>
    <x:row r="31" ht="25" customHeight="1">
      <x:c r="A31" s="17" t="n">
        <x:f>26</x:f>
        <x:v>26</x:v>
      </x:c>
      <x:c r="B31" s="26" t="n">
        <x:f>2029</x:f>
        <x:v>2029</x:v>
      </x:c>
      <x:c r="C31" s="27" t="n">
        <x:f>F30</x:f>
        <x:v>186.83876117999066</x:v>
      </x:c>
      <x:c r="D31" s="28" t="n">
        <x:f>('Ipotesi BP'!D9/'Ipotesi BP'!D10*'Ipotesi BP'!D11+'Ipotesi BP'!D13+'Ipotesi BP'!D15+'Ipotesi BP'!D17)/12*'Ipotesi BP'!D45</x:f>
        <x:v>21.5</x:v>
      </x:c>
      <x:c r="E31" s="28" t="n">
        <x:f>C31*'Ipotesi BP'!D8</x:f>
        <x:v>3.736775223599813</x:v>
      </x:c>
      <x:c r="F31" s="27" t="n">
        <x:f>C31+D31-E31</x:f>
        <x:v>204.60198595639085</x:v>
      </x:c>
      <x:c r="G31" s="27" t="n">
        <x:f>(C31+F31)/2</x:f>
        <x:v>195.72037356819075</x:v>
      </x:c>
      <x:c r="H31" s="18" t="n">
        <x:f>G31*'Ipotesi BP'!D6</x:f>
        <x:v>15461.90951188707</x:v>
      </x:c>
      <x:c r="I31" s="18" t="n">
        <x:f>G31*'Ipotesi BP'!D7</x:f>
        <x:v>10382.96581779252</x:v>
      </x:c>
      <x:c r="J31" s="18" t="n">
        <x:f>G31*('Ipotesi BP'!D6*(1+'Ipotesi BP'!D34)*'Ipotesi BP'!D35+'Ipotesi BP'!D36)</x:f>
        <x:v>331.88303745958103</x:v>
      </x:c>
      <x:c r="K31" s="18" t="n">
        <x:f>G31*'Ipotesi BP'!D19+H31*'Ipotesi BP'!D20</x:f>
        <x:v>546.0598422552522</x:v>
      </x:c>
      <x:c r="L31" s="18" t="n">
        <x:f>D31*'Ipotesi BP'!D18</x:f>
        <x:v>516</x:v>
      </x:c>
      <x:c r="M31" s="18" t="n">
        <x:f>('Ipotesi BP'!D9+'Ipotesi BP'!D12+'Ipotesi BP'!D14+'Ipotesi BP'!D16)/12</x:f>
        <x:v>2850</x:v>
      </x:c>
      <x:c r="N31" s="18" t="n">
        <x:f>'Ipotesi BP'!D21/12</x:f>
        <x:v>3000</x:v>
      </x:c>
      <x:c r="O31" s="18" t="n">
        <x:f>'Ipotesi BP'!D22*'Ipotesi BP'!D23/12</x:f>
        <x:v>3182.6666666666665</x:v>
      </x:c>
      <x:c r="P31" s="18" t="n">
        <x:f>'Ipotesi BP'!D24/12</x:f>
        <x:v>1000</x:v>
      </x:c>
      <x:c r="Q31" s="18" t="n">
        <x:f>SUM('Ipotesi BP'!D25:D29)/12</x:f>
        <x:v>1516.6666666666667</x:v>
      </x:c>
      <x:c r="R31" s="17" t="n">
        <x:f>0</x:f>
        <x:v>0</x:v>
      </x:c>
      <x:c r="S31" s="17" t="n">
        <x:f>H31-SUM(I31:R31)</x:f>
        <x:v>-7864.332518953617</x:v>
      </x:c>
      <x:c r="T31" s="17" t="n">
        <x:f>SUM(X6:X31)/36</x:f>
        <x:v>69.44444444444444</x:v>
      </x:c>
      <x:c r="U31" s="17" t="n">
        <x:f>S31-T31</x:f>
        <x:v>-7933.7769633980615</x:v>
      </x:c>
      <x:c r="V31" s="18" t="n">
        <x:f>MAX(0,U31)*'Ipotesi BP'!D38+MAX(0,U31+N31)*'Ipotesi BP'!D39</x:f>
        <x:v>0</x:v>
      </x:c>
      <x:c r="W31" s="17" t="n">
        <x:f>U31-V31</x:f>
        <x:v>-7933.7769633980615</x:v>
      </x:c>
      <x:c r="X31" s="17" t="n">
        <x:f>0</x:f>
        <x:v>0</x:v>
      </x:c>
      <x:c r="Y31" s="18" t="n">
        <x:f>H31*(1+'Ipotesi BP'!D34)*'Ipotesi BP'!D37/30</x:f>
        <x:v>1257.5686403001484</x:v>
      </x:c>
      <x:c r="Z31" s="17" t="n">
        <x:f>MAX(0,-AO31)</x:f>
        <x:v>7353.127129294127</x:v>
      </x:c>
      <x:c r="AA31" s="17" t="n">
        <x:f>MAX(0,AO31)</x:f>
        <x:v>0</x:v>
      </x:c>
      <x:c r="AB31" s="17" t="n">
        <x:f>Y31+Z31-AA31-Y30-Z30+AA30</x:f>
        <x:v>334.2352977855271</x:v>
      </x:c>
      <x:c r="AC31" s="17" t="n">
        <x:f>W31+T31-AB31</x:f>
        <x:v>-8198.567816739145</x:v>
      </x:c>
      <x:c r="AD31" s="17" t="n">
        <x:f>0</x:f>
        <x:v>0</x:v>
      </x:c>
      <x:c r="AE31" s="17" t="n">
        <x:f>0</x:f>
        <x:v>0</x:v>
      </x:c>
      <x:c r="AF31" s="17" t="n">
        <x:f>AF30+AC31-X31+AD31+AE31</x:f>
        <x:v>75509.7940102614</x:v>
      </x:c>
      <x:c r="AG31" s="17" t="n">
        <x:f>AG30+AC31-X31+AD31</x:f>
        <x:v>-104490.20598973859</x:v>
      </x:c>
      <x:c r="AH31" s="17" t="n">
        <x:f>SUM($X$6:X31)-SUM($T$6:T31)</x:f>
        <x:v>1194.4444444444443</x:v>
      </x:c>
      <x:c r="AI31" s="17" t="n">
        <x:f>SUM($W$6:W31)</x:f>
        <x:v>-104685.06577569988</x:v>
      </x:c>
      <x:c r="AJ31" s="17" t="n">
        <x:f>SUM($AD$6:AE31)</x:f>
        <x:v>190000</x:v>
      </x:c>
      <x:c r="AK31" s="17" t="n">
        <x:f>AF31+Y31+Z31+AH31-AA31-AI31-AJ31</x:f>
        <x:v>0</x:v>
      </x:c>
      <x:c r="AL31" s="18" t="n">
        <x:f>G31*'Ipotesi BP'!D40/60+D31*'Ipotesi BP'!D41/60+'Ipotesi BP'!D44</x:f>
        <x:v>62.637716475758765</x:v>
      </x:c>
      <x:c r="AM31" s="18" t="n">
        <x:f>'Ipotesi BP'!D42+'Ipotesi BP'!D22*'Ipotesi BP'!D43</x:f>
        <x:v>160</x:v>
      </x:c>
      <x:c r="AN31" s="17" t="n">
        <x:f>MAX(0,AL31-AM31)</x:f>
        <x:v>0</x:v>
      </x:c>
      <x:c r="AO31" s="18" t="n">
        <x:f>AO30-MAX(0,AO30)+(H31-I31-G31*'Ipotesi BP'!D19-L31-M31-P31-Q31+'Ipotesi BP'!D27/12-X31)*'Ipotesi BP'!D34</x:f>
        <x:v>-7353.127129294127</x:v>
      </x:c>
    </x:row>
    <x:row r="32" ht="25" customHeight="1">
      <x:c r="A32" s="17" t="n">
        <x:f>27</x:f>
        <x:v>27</x:v>
      </x:c>
      <x:c r="B32" s="26" t="n">
        <x:f>2029</x:f>
        <x:v>2029</x:v>
      </x:c>
      <x:c r="C32" s="27" t="n">
        <x:f>F31</x:f>
        <x:v>204.60198595639085</x:v>
      </x:c>
      <x:c r="D32" s="28" t="n">
        <x:f>('Ipotesi BP'!D9/'Ipotesi BP'!D10*'Ipotesi BP'!D11+'Ipotesi BP'!D13+'Ipotesi BP'!D15+'Ipotesi BP'!D17)/12*'Ipotesi BP'!D45</x:f>
        <x:v>21.5</x:v>
      </x:c>
      <x:c r="E32" s="28" t="n">
        <x:f>C32*'Ipotesi BP'!D8</x:f>
        <x:v>4.092039719127817</x:v>
      </x:c>
      <x:c r="F32" s="27" t="n">
        <x:f>C32+D32-E32</x:f>
        <x:v>222.00994623726302</x:v>
      </x:c>
      <x:c r="G32" s="27" t="n">
        <x:f>(C32+F32)/2</x:f>
        <x:v>213.30596609682692</x:v>
      </x:c>
      <x:c r="H32" s="18" t="n">
        <x:f>G32*'Ipotesi BP'!D6</x:f>
        <x:v>16851.171321649326</x:v>
      </x:c>
      <x:c r="I32" s="18" t="n">
        <x:f>G32*'Ipotesi BP'!D7</x:f>
        <x:v>11315.881501436668</x:v>
      </x:c>
      <x:c r="J32" s="18" t="n">
        <x:f>G32*('Ipotesi BP'!D6*(1+'Ipotesi BP'!D34)*'Ipotesi BP'!D35+'Ipotesi BP'!D36)</x:f>
        <x:v>361.7029267103894</x:v>
      </x:c>
      <x:c r="K32" s="18" t="n">
        <x:f>G32*'Ipotesi BP'!D19+H32*'Ipotesi BP'!D20</x:f>
        <x:v>595.1236454101471</x:v>
      </x:c>
      <x:c r="L32" s="18" t="n">
        <x:f>D32*'Ipotesi BP'!D18</x:f>
        <x:v>516</x:v>
      </x:c>
      <x:c r="M32" s="18" t="n">
        <x:f>('Ipotesi BP'!D9+'Ipotesi BP'!D12+'Ipotesi BP'!D14+'Ipotesi BP'!D16)/12</x:f>
        <x:v>2850</x:v>
      </x:c>
      <x:c r="N32" s="18" t="n">
        <x:f>'Ipotesi BP'!D21/12</x:f>
        <x:v>3000</x:v>
      </x:c>
      <x:c r="O32" s="18" t="n">
        <x:f>'Ipotesi BP'!D22*'Ipotesi BP'!D23/12</x:f>
        <x:v>3182.6666666666665</x:v>
      </x:c>
      <x:c r="P32" s="18" t="n">
        <x:f>'Ipotesi BP'!D24/12</x:f>
        <x:v>1000</x:v>
      </x:c>
      <x:c r="Q32" s="18" t="n">
        <x:f>SUM('Ipotesi BP'!D25:D29)/12</x:f>
        <x:v>1516.6666666666667</x:v>
      </x:c>
      <x:c r="R32" s="17" t="n">
        <x:f>0</x:f>
        <x:v>0</x:v>
      </x:c>
      <x:c r="S32" s="17" t="n">
        <x:f>H32-SUM(I32:R32)</x:f>
        <x:v>-7486.870085241215</x:v>
      </x:c>
      <x:c r="T32" s="17" t="n">
        <x:f>SUM(X6:X32)/36</x:f>
        <x:v>69.44444444444444</x:v>
      </x:c>
      <x:c r="U32" s="17" t="n">
        <x:f>S32-T32</x:f>
        <x:v>-7556.314529685659</x:v>
      </x:c>
      <x:c r="V32" s="18" t="n">
        <x:f>MAX(0,U32)*'Ipotesi BP'!D38+MAX(0,U32+N32)*'Ipotesi BP'!D39</x:f>
        <x:v>0</x:v>
      </x:c>
      <x:c r="W32" s="17" t="n">
        <x:f>U32-V32</x:f>
        <x:v>-7556.314529685659</x:v>
      </x:c>
      <x:c r="X32" s="17" t="n">
        <x:f>0</x:f>
        <x:v>0</x:v>
      </x:c>
      <x:c r="Y32" s="18" t="n">
        <x:f>H32*(1+'Ipotesi BP'!D34)*'Ipotesi BP'!D37/30</x:f>
        <x:v>1370.5619341608117</x:v>
      </x:c>
      <x:c r="Z32" s="17" t="n">
        <x:f>MAX(0,-AO32)</x:f>
        <x:v>7479.404660596613</x:v>
      </x:c>
      <x:c r="AA32" s="17" t="n">
        <x:f>MAX(0,AO32)</x:f>
        <x:v>0</x:v>
      </x:c>
      <x:c r="AB32" s="17" t="n">
        <x:f>Y32+Z32-AA32-Y31-Z31+AA31</x:f>
        <x:v>239.2708251631493</x:v>
      </x:c>
      <x:c r="AC32" s="17" t="n">
        <x:f>W32+T32-AB32</x:f>
        <x:v>-7726.140910404364</x:v>
      </x:c>
      <x:c r="AD32" s="17" t="n">
        <x:f>0</x:f>
        <x:v>0</x:v>
      </x:c>
      <x:c r="AE32" s="17" t="n">
        <x:f>0</x:f>
        <x:v>0</x:v>
      </x:c>
      <x:c r="AF32" s="17" t="n">
        <x:f>AF31+AC32-X32+AD32+AE32</x:f>
        <x:v>67783.65309985702</x:v>
      </x:c>
      <x:c r="AG32" s="17" t="n">
        <x:f>AG31+AC32-X32+AD32</x:f>
        <x:v>-112216.34690014296</x:v>
      </x:c>
      <x:c r="AH32" s="17" t="n">
        <x:f>SUM($X$6:X32)-SUM($T$6:T32)</x:f>
        <x:v>1125</x:v>
      </x:c>
      <x:c r="AI32" s="17" t="n">
        <x:f>SUM($W$6:W32)</x:f>
        <x:v>-112241.38030538554</x:v>
      </x:c>
      <x:c r="AJ32" s="17" t="n">
        <x:f>SUM($AD$6:AE32)</x:f>
        <x:v>190000</x:v>
      </x:c>
      <x:c r="AK32" s="17" t="n">
        <x:f>AF32+Y32+Z32+AH32-AA32-AI32-AJ32</x:f>
        <x:v>0</x:v>
      </x:c>
      <x:c r="AL32" s="18" t="n">
        <x:f>G32*'Ipotesi BP'!D40/60+D32*'Ipotesi BP'!D41/60+'Ipotesi BP'!D44</x:f>
        <x:v>64.98246214624359</x:v>
      </x:c>
      <x:c r="AM32" s="18" t="n">
        <x:f>'Ipotesi BP'!D42+'Ipotesi BP'!D22*'Ipotesi BP'!D43</x:f>
        <x:v>160</x:v>
      </x:c>
      <x:c r="AN32" s="17" t="n">
        <x:f>MAX(0,AL32-AM32)</x:f>
        <x:v>0</x:v>
      </x:c>
      <x:c r="AO32" s="18" t="n">
        <x:f>AO31-MAX(0,AO31)+(H32-I32-G32*'Ipotesi BP'!D19-L32-M32-P32-Q32+'Ipotesi BP'!D27/12-X32)*'Ipotesi BP'!D34</x:f>
        <x:v>-7479.404660596613</x:v>
      </x:c>
    </x:row>
    <x:row r="33" ht="25" customHeight="1">
      <x:c r="A33" s="17" t="n">
        <x:f>28</x:f>
        <x:v>28</x:v>
      </x:c>
      <x:c r="B33" s="26" t="n">
        <x:f>2029</x:f>
        <x:v>2029</x:v>
      </x:c>
      <x:c r="C33" s="27" t="n">
        <x:f>F32</x:f>
        <x:v>222.00994623726302</x:v>
      </x:c>
      <x:c r="D33" s="28" t="n">
        <x:f>('Ipotesi BP'!D9/'Ipotesi BP'!D10*'Ipotesi BP'!D11+'Ipotesi BP'!D13+'Ipotesi BP'!D15+'Ipotesi BP'!D17)/12*'Ipotesi BP'!D45</x:f>
        <x:v>21.5</x:v>
      </x:c>
      <x:c r="E33" s="28" t="n">
        <x:f>C33*'Ipotesi BP'!D8</x:f>
        <x:v>4.4401989247452605</x:v>
      </x:c>
      <x:c r="F33" s="27" t="n">
        <x:f>C33+D33-E33</x:f>
        <x:v>239.06974731251776</x:v>
      </x:c>
      <x:c r="G33" s="27" t="n">
        <x:f>(C33+F33)/2</x:f>
        <x:v>230.5398467748904</x:v>
      </x:c>
      <x:c r="H33" s="18" t="n">
        <x:f>G33*'Ipotesi BP'!D6</x:f>
        <x:v>18212.64789521634</x:v>
      </x:c>
      <x:c r="I33" s="18" t="n">
        <x:f>G33*'Ipotesi BP'!D7</x:f>
        <x:v>12230.138871407935</x:v>
      </x:c>
      <x:c r="J33" s="18" t="n">
        <x:f>G33*('Ipotesi BP'!D6*(1+'Ipotesi BP'!D34)*'Ipotesi BP'!D35+'Ipotesi BP'!D36)</x:f>
        <x:v>390.92641817618164</x:v>
      </x:c>
      <x:c r="K33" s="18" t="n">
        <x:f>G33*'Ipotesi BP'!D19+H33*'Ipotesi BP'!D20</x:f>
        <x:v>643.2061725019443</x:v>
      </x:c>
      <x:c r="L33" s="18" t="n">
        <x:f>D33*'Ipotesi BP'!D18</x:f>
        <x:v>516</x:v>
      </x:c>
      <x:c r="M33" s="18" t="n">
        <x:f>('Ipotesi BP'!D9+'Ipotesi BP'!D12+'Ipotesi BP'!D14+'Ipotesi BP'!D16)/12</x:f>
        <x:v>2850</x:v>
      </x:c>
      <x:c r="N33" s="18" t="n">
        <x:f>'Ipotesi BP'!D21/12</x:f>
        <x:v>3000</x:v>
      </x:c>
      <x:c r="O33" s="18" t="n">
        <x:f>'Ipotesi BP'!D22*'Ipotesi BP'!D23/12</x:f>
        <x:v>3182.6666666666665</x:v>
      </x:c>
      <x:c r="P33" s="18" t="n">
        <x:f>'Ipotesi BP'!D24/12</x:f>
        <x:v>1000</x:v>
      </x:c>
      <x:c r="Q33" s="18" t="n">
        <x:f>SUM('Ipotesi BP'!D25:D29)/12</x:f>
        <x:v>1516.6666666666667</x:v>
      </x:c>
      <x:c r="R33" s="17" t="n">
        <x:f>0</x:f>
        <x:v>0</x:v>
      </x:c>
      <x:c r="S33" s="17" t="n">
        <x:f>H33-SUM(I33:R33)</x:f>
        <x:v>-7116.956900203055</x:v>
      </x:c>
      <x:c r="T33" s="17" t="n">
        <x:f>SUM(X6:X33)/36</x:f>
        <x:v>69.44444444444444</x:v>
      </x:c>
      <x:c r="U33" s="17" t="n">
        <x:f>S33-T33</x:f>
        <x:v>-7186.401344647499</x:v>
      </x:c>
      <x:c r="V33" s="18" t="n">
        <x:f>MAX(0,U33)*'Ipotesi BP'!D38+MAX(0,U33+N33)*'Ipotesi BP'!D39</x:f>
        <x:v>0</x:v>
      </x:c>
      <x:c r="W33" s="17" t="n">
        <x:f>U33-V33</x:f>
        <x:v>-7186.401344647499</x:v>
      </x:c>
      <x:c r="X33" s="17" t="n">
        <x:f>0</x:f>
        <x:v>0</x:v>
      </x:c>
      <x:c r="Y33" s="18" t="n">
        <x:f>H33*(1+'Ipotesi BP'!D34)*'Ipotesi BP'!D37/30</x:f>
        <x:v>1481.2953621442623</x:v>
      </x:c>
      <x:c r="Z33" s="17" t="n">
        <x:f>MAX(0,-AO33)</x:f>
        <x:v>7514.876874606382</x:v>
      </x:c>
      <x:c r="AA33" s="17" t="n">
        <x:f>MAX(0,AO33)</x:f>
        <x:v>0</x:v>
      </x:c>
      <x:c r="AB33" s="17" t="n">
        <x:f>Y33+Z33-AA33-Y32-Z32+AA32</x:f>
        <x:v>146.20564199321961</x:v>
      </x:c>
      <x:c r="AC33" s="17" t="n">
        <x:f>W33+T33-AB33</x:f>
        <x:v>-7263.162542196274</x:v>
      </x:c>
      <x:c r="AD33" s="17" t="n">
        <x:f>0</x:f>
        <x:v>0</x:v>
      </x:c>
      <x:c r="AE33" s="17" t="n">
        <x:f>0</x:f>
        <x:v>0</x:v>
      </x:c>
      <x:c r="AF33" s="17" t="n">
        <x:f>AF32+AC33-X33+AD33+AE33</x:f>
        <x:v>60520.49055766075</x:v>
      </x:c>
      <x:c r="AG33" s="17" t="n">
        <x:f>AG32+AC33-X33+AD33</x:f>
        <x:v>-119479.50944233924</x:v>
      </x:c>
      <x:c r="AH33" s="17" t="n">
        <x:f>SUM($X$6:X33)-SUM($T$6:T33)</x:f>
        <x:v>1055.5555555555557</x:v>
      </x:c>
      <x:c r="AI33" s="17" t="n">
        <x:f>SUM($W$6:W33)</x:f>
        <x:v>-119427.78165003304</x:v>
      </x:c>
      <x:c r="AJ33" s="17" t="n">
        <x:f>SUM($AD$6:AE33)</x:f>
        <x:v>190000</x:v>
      </x:c>
      <x:c r="AK33" s="17" t="n">
        <x:f>AF33+Y33+Z33+AH33-AA33-AI33-AJ33</x:f>
        <x:v>0</x:v>
      </x:c>
      <x:c r="AL33" s="18" t="n">
        <x:f>G33*'Ipotesi BP'!D40/60+D33*'Ipotesi BP'!D41/60+'Ipotesi BP'!D44</x:f>
        <x:v>67.28031290331873</x:v>
      </x:c>
      <x:c r="AM33" s="18" t="n">
        <x:f>'Ipotesi BP'!D42+'Ipotesi BP'!D22*'Ipotesi BP'!D43</x:f>
        <x:v>160</x:v>
      </x:c>
      <x:c r="AN33" s="17" t="n">
        <x:f>MAX(0,AL33-AM33)</x:f>
        <x:v>0</x:v>
      </x:c>
      <x:c r="AO33" s="18" t="n">
        <x:f>AO32-MAX(0,AO32)+(H33-I33-G33*'Ipotesi BP'!D19-L33-M33-P33-Q33+'Ipotesi BP'!D27/12-X33)*'Ipotesi BP'!D34</x:f>
        <x:v>-7514.876874606382</x:v>
      </x:c>
    </x:row>
    <x:row r="34" ht="25" customHeight="1">
      <x:c r="A34" s="17" t="n">
        <x:f>29</x:f>
        <x:v>29</x:v>
      </x:c>
      <x:c r="B34" s="26" t="n">
        <x:f>2029</x:f>
        <x:v>2029</x:v>
      </x:c>
      <x:c r="C34" s="27" t="n">
        <x:f>F33</x:f>
        <x:v>239.06974731251776</x:v>
      </x:c>
      <x:c r="D34" s="28" t="n">
        <x:f>('Ipotesi BP'!D9/'Ipotesi BP'!D10*'Ipotesi BP'!D11+'Ipotesi BP'!D13+'Ipotesi BP'!D15+'Ipotesi BP'!D17)/12*'Ipotesi BP'!D45</x:f>
        <x:v>21.5</x:v>
      </x:c>
      <x:c r="E34" s="28" t="n">
        <x:f>C34*'Ipotesi BP'!D8</x:f>
        <x:v>4.781394946250355</x:v>
      </x:c>
      <x:c r="F34" s="27" t="n">
        <x:f>C34+D34-E34</x:f>
        <x:v>255.7883523662674</x:v>
      </x:c>
      <x:c r="G34" s="27" t="n">
        <x:f>(C34+F34)/2</x:f>
        <x:v>247.42904983939258</x:v>
      </x:c>
      <x:c r="H34" s="18" t="n">
        <x:f>G34*'Ipotesi BP'!D6</x:f>
        <x:v>19546.894937312012</x:v>
      </x:c>
      <x:c r="I34" s="18" t="n">
        <x:f>G34*'Ipotesi BP'!D7</x:f>
        <x:v>13126.111093979776</x:v>
      </x:c>
      <x:c r="J34" s="18" t="n">
        <x:f>G34*('Ipotesi BP'!D6*(1+'Ipotesi BP'!D34)*'Ipotesi BP'!D35+'Ipotesi BP'!D36)</x:f>
        <x:v>419.565439812658</x:v>
      </x:c>
      <x:c r="K34" s="18" t="n">
        <x:f>G34*'Ipotesi BP'!D19+H34*'Ipotesi BP'!D20</x:f>
        <x:v>690.3270490519053</x:v>
      </x:c>
      <x:c r="L34" s="18" t="n">
        <x:f>D34*'Ipotesi BP'!D18</x:f>
        <x:v>516</x:v>
      </x:c>
      <x:c r="M34" s="18" t="n">
        <x:f>('Ipotesi BP'!D9+'Ipotesi BP'!D12+'Ipotesi BP'!D14+'Ipotesi BP'!D16)/12</x:f>
        <x:v>2850</x:v>
      </x:c>
      <x:c r="N34" s="18" t="n">
        <x:f>'Ipotesi BP'!D21/12</x:f>
        <x:v>3000</x:v>
      </x:c>
      <x:c r="O34" s="18" t="n">
        <x:f>'Ipotesi BP'!D22*'Ipotesi BP'!D23/12</x:f>
        <x:v>3182.6666666666665</x:v>
      </x:c>
      <x:c r="P34" s="18" t="n">
        <x:f>'Ipotesi BP'!D24/12</x:f>
        <x:v>1000</x:v>
      </x:c>
      <x:c r="Q34" s="18" t="n">
        <x:f>SUM('Ipotesi BP'!D25:D29)/12</x:f>
        <x:v>1516.6666666666667</x:v>
      </x:c>
      <x:c r="R34" s="17" t="n">
        <x:f>0</x:f>
        <x:v>0</x:v>
      </x:c>
      <x:c r="S34" s="17" t="n">
        <x:f>H34-SUM(I34:R34)</x:f>
        <x:v>-6754.441978865663</x:v>
      </x:c>
      <x:c r="T34" s="17" t="n">
        <x:f>SUM(X6:X34)/36</x:f>
        <x:v>69.44444444444444</x:v>
      </x:c>
      <x:c r="U34" s="17" t="n">
        <x:f>S34-T34</x:f>
        <x:v>-6823.886423310108</x:v>
      </x:c>
      <x:c r="V34" s="18" t="n">
        <x:f>MAX(0,U34)*'Ipotesi BP'!D38+MAX(0,U34+N34)*'Ipotesi BP'!D39</x:f>
        <x:v>0</x:v>
      </x:c>
      <x:c r="W34" s="17" t="n">
        <x:f>U34-V34</x:f>
        <x:v>-6823.886423310108</x:v>
      </x:c>
      <x:c r="X34" s="17" t="n">
        <x:f>0</x:f>
        <x:v>0</x:v>
      </x:c>
      <x:c r="Y34" s="18" t="n">
        <x:f>H34*(1+'Ipotesi BP'!D34)*'Ipotesi BP'!D37/30</x:f>
        <x:v>1589.8141215680437</x:v>
      </x:c>
      <x:c r="Z34" s="17" t="n">
        <x:f>MAX(0,-AO34)</x:f>
        <x:v>7461.35987766929</x:v>
      </x:c>
      <x:c r="AA34" s="17" t="n">
        <x:f>MAX(0,AO34)</x:f>
        <x:v>0</x:v>
      </x:c>
      <x:c r="AB34" s="17" t="n">
        <x:f>Y34+Z34-AA34-Y33-Z33+AA33</x:f>
        <x:v>55.001762486688676</x:v>
      </x:c>
      <x:c r="AC34" s="17" t="n">
        <x:f>W34+T34-AB34</x:f>
        <x:v>-6809.443741352352</x:v>
      </x:c>
      <x:c r="AD34" s="17" t="n">
        <x:f>0</x:f>
        <x:v>0</x:v>
      </x:c>
      <x:c r="AE34" s="17" t="n">
        <x:f>0</x:f>
        <x:v>0</x:v>
      </x:c>
      <x:c r="AF34" s="17" t="n">
        <x:f>AF33+AC34-X34+AD34+AE34</x:f>
        <x:v>53711.0468163084</x:v>
      </x:c>
      <x:c r="AG34" s="17" t="n">
        <x:f>AG33+AC34-X34+AD34</x:f>
        <x:v>-126288.9531836916</x:v>
      </x:c>
      <x:c r="AH34" s="17" t="n">
        <x:f>SUM($X$6:X34)-SUM($T$6:T34)</x:f>
        <x:v>986.1111111111113</x:v>
      </x:c>
      <x:c r="AI34" s="17" t="n">
        <x:f>SUM($W$6:W34)</x:f>
        <x:v>-126251.66807334314</x:v>
      </x:c>
      <x:c r="AJ34" s="17" t="n">
        <x:f>SUM($AD$6:AE34)</x:f>
        <x:v>190000</x:v>
      </x:c>
      <x:c r="AK34" s="17" t="n">
        <x:f>AF34+Y34+Z34+AH34-AA34-AI34-AJ34</x:f>
        <x:v>0</x:v>
      </x:c>
      <x:c r="AL34" s="18" t="n">
        <x:f>G34*'Ipotesi BP'!D40/60+D34*'Ipotesi BP'!D41/60+'Ipotesi BP'!D44</x:f>
        <x:v>69.53220664525234</x:v>
      </x:c>
      <x:c r="AM34" s="18" t="n">
        <x:f>'Ipotesi BP'!D42+'Ipotesi BP'!D22*'Ipotesi BP'!D43</x:f>
        <x:v>160</x:v>
      </x:c>
      <x:c r="AN34" s="17" t="n">
        <x:f>MAX(0,AL34-AM34)</x:f>
        <x:v>0</x:v>
      </x:c>
      <x:c r="AO34" s="18" t="n">
        <x:f>AO33-MAX(0,AO33)+(H34-I34-G34*'Ipotesi BP'!D19-L34-M34-P34-Q34+'Ipotesi BP'!D27/12-X34)*'Ipotesi BP'!D34</x:f>
        <x:v>-7461.35987766929</x:v>
      </x:c>
    </x:row>
    <x:row r="35" ht="25" customHeight="1">
      <x:c r="A35" s="17" t="n">
        <x:f>30</x:f>
        <x:v>30</x:v>
      </x:c>
      <x:c r="B35" s="26" t="n">
        <x:f>2029</x:f>
        <x:v>2029</x:v>
      </x:c>
      <x:c r="C35" s="27" t="n">
        <x:f>F34</x:f>
        <x:v>255.7883523662674</x:v>
      </x:c>
      <x:c r="D35" s="28" t="n">
        <x:f>('Ipotesi BP'!D9/'Ipotesi BP'!D10*'Ipotesi BP'!D11+'Ipotesi BP'!D13+'Ipotesi BP'!D15+'Ipotesi BP'!D17)/12*'Ipotesi BP'!D45</x:f>
        <x:v>21.5</x:v>
      </x:c>
      <x:c r="E35" s="28" t="n">
        <x:f>C35*'Ipotesi BP'!D8</x:f>
        <x:v>5.115767047325348</x:v>
      </x:c>
      <x:c r="F35" s="27" t="n">
        <x:f>C35+D35-E35</x:f>
        <x:v>272.1725853189421</x:v>
      </x:c>
      <x:c r="G35" s="27" t="n">
        <x:f>(C35+F35)/2</x:f>
        <x:v>263.98046884260475</x:v>
      </x:c>
      <x:c r="H35" s="18" t="n">
        <x:f>G35*'Ipotesi BP'!D6</x:f>
        <x:v>20854.457038565775</x:v>
      </x:c>
      <x:c r="I35" s="18" t="n">
        <x:f>G35*'Ipotesi BP'!D7</x:f>
        <x:v>14004.163872100182</x:v>
      </x:c>
      <x:c r="J35" s="18" t="n">
        <x:f>G35*('Ipotesi BP'!D6*(1+'Ipotesi BP'!D34)*'Ipotesi BP'!D35+'Ipotesi BP'!D36)</x:f>
        <x:v>447.63168101640485</x:v>
      </x:c>
      <x:c r="K35" s="18" t="n">
        <x:f>G35*'Ipotesi BP'!D19+H35*'Ipotesi BP'!D20</x:f>
        <x:v>736.5055080708672</x:v>
      </x:c>
      <x:c r="L35" s="18" t="n">
        <x:f>D35*'Ipotesi BP'!D18</x:f>
        <x:v>516</x:v>
      </x:c>
      <x:c r="M35" s="18" t="n">
        <x:f>('Ipotesi BP'!D9+'Ipotesi BP'!D12+'Ipotesi BP'!D14+'Ipotesi BP'!D16)/12</x:f>
        <x:v>2850</x:v>
      </x:c>
      <x:c r="N35" s="18" t="n">
        <x:f>'Ipotesi BP'!D21/12</x:f>
        <x:v>3000</x:v>
      </x:c>
      <x:c r="O35" s="18" t="n">
        <x:f>'Ipotesi BP'!D22*'Ipotesi BP'!D23/12</x:f>
        <x:v>3182.6666666666665</x:v>
      </x:c>
      <x:c r="P35" s="18" t="n">
        <x:f>'Ipotesi BP'!D24/12</x:f>
        <x:v>1000</x:v>
      </x:c>
      <x:c r="Q35" s="18" t="n">
        <x:f>SUM('Ipotesi BP'!D25:D29)/12</x:f>
        <x:v>1516.6666666666667</x:v>
      </x:c>
      <x:c r="R35" s="17" t="n">
        <x:f>0</x:f>
        <x:v>0</x:v>
      </x:c>
      <x:c r="S35" s="17" t="n">
        <x:f>H35-SUM(I35:R35)</x:f>
        <x:v>-6399.1773559550165</x:v>
      </x:c>
      <x:c r="T35" s="17" t="n">
        <x:f>SUM(X6:X35)/36</x:f>
        <x:v>69.44444444444444</x:v>
      </x:c>
      <x:c r="U35" s="17" t="n">
        <x:f>S35-T35</x:f>
        <x:v>-6468.621800399461</x:v>
      </x:c>
      <x:c r="V35" s="18" t="n">
        <x:f>MAX(0,U35)*'Ipotesi BP'!D38+MAX(0,U35+N35)*'Ipotesi BP'!D39</x:f>
        <x:v>0</x:v>
      </x:c>
      <x:c r="W35" s="17" t="n">
        <x:f>U35-V35</x:f>
        <x:v>-6468.621800399461</x:v>
      </x:c>
      <x:c r="X35" s="17" t="n">
        <x:f>0</x:f>
        <x:v>0</x:v>
      </x:c>
      <x:c r="Y35" s="18" t="n">
        <x:f>H35*(1+'Ipotesi BP'!D34)*'Ipotesi BP'!D37/30</x:f>
        <x:v>1696.1625058033496</x:v>
      </x:c>
      <x:c r="Z35" s="17" t="n">
        <x:f>MAX(0,-AO35)</x:f>
        <x:v>7320.633454004272</x:v>
      </x:c>
      <x:c r="AA35" s="17" t="n">
        <x:f>MAX(0,AO35)</x:f>
        <x:v>0</x:v>
      </x:c>
      <x:c r="AB35" s="17" t="n">
        <x:f>Y35+Z35-AA35-Y34-Z34+AA34</x:f>
        <x:v>-34.37803942971186</x:v>
      </x:c>
      <x:c r="AC35" s="17" t="n">
        <x:f>W35+T35-AB35</x:f>
        <x:v>-6364.799316525305</x:v>
      </x:c>
      <x:c r="AD35" s="17" t="n">
        <x:f>0</x:f>
        <x:v>0</x:v>
      </x:c>
      <x:c r="AE35" s="17" t="n">
        <x:f>0</x:f>
        <x:v>0</x:v>
      </x:c>
      <x:c r="AF35" s="17" t="n">
        <x:f>AF34+AC35-X35+AD35+AE35</x:f>
        <x:v>47346.247499783094</x:v>
      </x:c>
      <x:c r="AG35" s="17" t="n">
        <x:f>AG34+AC35-X35+AD35</x:f>
        <x:v>-132653.7525002169</x:v>
      </x:c>
      <x:c r="AH35" s="17" t="n">
        <x:f>SUM($X$6:X35)-SUM($T$6:T35)</x:f>
        <x:v>916.666666666667</x:v>
      </x:c>
      <x:c r="AI35" s="17" t="n">
        <x:f>SUM($W$6:W35)</x:f>
        <x:v>-132720.28987374261</x:v>
      </x:c>
      <x:c r="AJ35" s="17" t="n">
        <x:f>SUM($AD$6:AE35)</x:f>
        <x:v>190000</x:v>
      </x:c>
      <x:c r="AK35" s="17" t="n">
        <x:f>AF35+Y35+Z35+AH35-AA35-AI35-AJ35</x:f>
        <x:v>0</x:v>
      </x:c>
      <x:c r="AL35" s="18" t="n">
        <x:f>G35*'Ipotesi BP'!D40/60+D35*'Ipotesi BP'!D41/60+'Ipotesi BP'!D44</x:f>
        <x:v>71.73906251234729</x:v>
      </x:c>
      <x:c r="AM35" s="18" t="n">
        <x:f>'Ipotesi BP'!D42+'Ipotesi BP'!D22*'Ipotesi BP'!D43</x:f>
        <x:v>160</x:v>
      </x:c>
      <x:c r="AN35" s="17" t="n">
        <x:f>MAX(0,AL35-AM35)</x:f>
        <x:v>0</x:v>
      </x:c>
      <x:c r="AO35" s="18" t="n">
        <x:f>AO34-MAX(0,AO34)+(H35-I35-G35*'Ipotesi BP'!D19-L35-M35-P35-Q35+'Ipotesi BP'!D27/12-X35)*'Ipotesi BP'!D34</x:f>
        <x:v>-7320.633454004272</x:v>
      </x:c>
    </x:row>
    <x:row r="36" ht="25" customHeight="1">
      <x:c r="A36" s="17" t="n">
        <x:f>31</x:f>
        <x:v>31</x:v>
      </x:c>
      <x:c r="B36" s="26" t="n">
        <x:f>2029</x:f>
        <x:v>2029</x:v>
      </x:c>
      <x:c r="C36" s="27" t="n">
        <x:f>F35</x:f>
        <x:v>272.1725853189421</x:v>
      </x:c>
      <x:c r="D36" s="28" t="n">
        <x:f>('Ipotesi BP'!D9/'Ipotesi BP'!D10*'Ipotesi BP'!D11+'Ipotesi BP'!D13+'Ipotesi BP'!D15+'Ipotesi BP'!D17)/12*'Ipotesi BP'!D45</x:f>
        <x:v>21.5</x:v>
      </x:c>
      <x:c r="E36" s="28" t="n">
        <x:f>C36*'Ipotesi BP'!D8</x:f>
        <x:v>5.443451706378842</x:v>
      </x:c>
      <x:c r="F36" s="27" t="n">
        <x:f>C36+D36-E36</x:f>
        <x:v>288.22913361256326</x:v>
      </x:c>
      <x:c r="G36" s="27" t="n">
        <x:f>(C36+F36)/2</x:f>
        <x:v>280.20085946575267</x:v>
      </x:c>
      <x:c r="H36" s="18" t="n">
        <x:f>G36*'Ipotesi BP'!D6</x:f>
        <x:v>22135.867897794462</x:v>
      </x:c>
      <x:c r="I36" s="18" t="n">
        <x:f>G36*'Ipotesi BP'!D7</x:f>
        <x:v>14864.65559465818</x:v>
      </x:c>
      <x:c r="J36" s="18" t="n">
        <x:f>G36*('Ipotesi BP'!D6*(1+'Ipotesi BP'!D34)*'Ipotesi BP'!D35+'Ipotesi BP'!D36)</x:f>
        <x:v>475.1365973960768</x:v>
      </x:c>
      <x:c r="K36" s="18" t="n">
        <x:f>G36*'Ipotesi BP'!D19+H36*'Ipotesi BP'!D20</x:f>
        <x:v>781.7603979094499</x:v>
      </x:c>
      <x:c r="L36" s="18" t="n">
        <x:f>D36*'Ipotesi BP'!D18</x:f>
        <x:v>516</x:v>
      </x:c>
      <x:c r="M36" s="18" t="n">
        <x:f>('Ipotesi BP'!D9+'Ipotesi BP'!D12+'Ipotesi BP'!D14+'Ipotesi BP'!D16)/12</x:f>
        <x:v>2850</x:v>
      </x:c>
      <x:c r="N36" s="18" t="n">
        <x:f>'Ipotesi BP'!D21/12</x:f>
        <x:v>3000</x:v>
      </x:c>
      <x:c r="O36" s="18" t="n">
        <x:f>'Ipotesi BP'!D22*'Ipotesi BP'!D23/12</x:f>
        <x:v>3182.6666666666665</x:v>
      </x:c>
      <x:c r="P36" s="18" t="n">
        <x:f>'Ipotesi BP'!D24/12</x:f>
        <x:v>1000</x:v>
      </x:c>
      <x:c r="Q36" s="18" t="n">
        <x:f>SUM('Ipotesi BP'!D25:D29)/12</x:f>
        <x:v>1516.6666666666667</x:v>
      </x:c>
      <x:c r="R36" s="17" t="n">
        <x:f>0</x:f>
        <x:v>0</x:v>
      </x:c>
      <x:c r="S36" s="17" t="n">
        <x:f>H36-SUM(I36:R36)</x:f>
        <x:v>-6051.018025502581</x:v>
      </x:c>
      <x:c r="T36" s="17" t="n">
        <x:f>SUM(X6:X36)/36</x:f>
        <x:v>69.44444444444444</x:v>
      </x:c>
      <x:c r="U36" s="17" t="n">
        <x:f>S36-T36</x:f>
        <x:v>-6120.462469947025</x:v>
      </x:c>
      <x:c r="V36" s="18" t="n">
        <x:f>MAX(0,U36)*'Ipotesi BP'!D38+MAX(0,U36+N36)*'Ipotesi BP'!D39</x:f>
        <x:v>0</x:v>
      </x:c>
      <x:c r="W36" s="17" t="n">
        <x:f>U36-V36</x:f>
        <x:v>-6120.462469947025</x:v>
      </x:c>
      <x:c r="X36" s="17" t="n">
        <x:f>0</x:f>
        <x:v>0</x:v>
      </x:c>
      <x:c r="Y36" s="18" t="n">
        <x:f>H36*(1+'Ipotesi BP'!D34)*'Ipotesi BP'!D37/30</x:f>
        <x:v>1800.3839223539496</x:v>
      </x:c>
      <x:c r="Z36" s="17" t="n">
        <x:f>MAX(0,-AO36)</x:f>
        <x:v>7094.441792145887</x:v>
      </x:c>
      <x:c r="AA36" s="17" t="n">
        <x:f>MAX(0,AO36)</x:f>
        <x:v>0</x:v>
      </x:c>
      <x:c r="AB36" s="17" t="n">
        <x:f>Y36+Z36-AA36-Y35-Z35+AA35</x:f>
        <x:v>-121.97024530778435</x:v>
      </x:c>
      <x:c r="AC36" s="17" t="n">
        <x:f>W36+T36-AB36</x:f>
        <x:v>-5929.047780194796</x:v>
      </x:c>
      <x:c r="AD36" s="17" t="n">
        <x:f>0</x:f>
        <x:v>0</x:v>
      </x:c>
      <x:c r="AE36" s="17" t="n">
        <x:f>0</x:f>
        <x:v>0</x:v>
      </x:c>
      <x:c r="AF36" s="17" t="n">
        <x:f>AF35+AC36-X36+AD36+AE36</x:f>
        <x:v>41417.1997195883</x:v>
      </x:c>
      <x:c r="AG36" s="17" t="n">
        <x:f>AG35+AC36-X36+AD36</x:f>
        <x:v>-138582.8002804117</x:v>
      </x:c>
      <x:c r="AH36" s="17" t="n">
        <x:f>SUM($X$6:X36)-SUM($T$6:T36)</x:f>
        <x:v>847.2222222222226</x:v>
      </x:c>
      <x:c r="AI36" s="17" t="n">
        <x:f>SUM($W$6:W36)</x:f>
        <x:v>-138840.75234368964</x:v>
      </x:c>
      <x:c r="AJ36" s="17" t="n">
        <x:f>SUM($AD$6:AE36)</x:f>
        <x:v>190000</x:v>
      </x:c>
      <x:c r="AK36" s="17" t="n">
        <x:f>AF36+Y36+Z36+AH36-AA36-AI36-AJ36</x:f>
        <x:v>0</x:v>
      </x:c>
      <x:c r="AL36" s="18" t="n">
        <x:f>G36*'Ipotesi BP'!D40/60+D36*'Ipotesi BP'!D41/60+'Ipotesi BP'!D44</x:f>
        <x:v>73.90178126210036</x:v>
      </x:c>
      <x:c r="AM36" s="18" t="n">
        <x:f>'Ipotesi BP'!D42+'Ipotesi BP'!D22*'Ipotesi BP'!D43</x:f>
        <x:v>160</x:v>
      </x:c>
      <x:c r="AN36" s="17" t="n">
        <x:f>MAX(0,AL36-AM36)</x:f>
        <x:v>0</x:v>
      </x:c>
      <x:c r="AO36" s="18" t="n">
        <x:f>AO35-MAX(0,AO35)+(H36-I36-G36*'Ipotesi BP'!D19-L36-M36-P36-Q36+'Ipotesi BP'!D27/12-X36)*'Ipotesi BP'!D34</x:f>
        <x:v>-7094.441792145887</x:v>
      </x:c>
    </x:row>
    <x:row r="37" ht="25" customHeight="1">
      <x:c r="A37" s="17" t="n">
        <x:f>32</x:f>
        <x:v>32</x:v>
      </x:c>
      <x:c r="B37" s="26" t="n">
        <x:f>2029</x:f>
        <x:v>2029</x:v>
      </x:c>
      <x:c r="C37" s="27" t="n">
        <x:f>F36</x:f>
        <x:v>288.22913361256326</x:v>
      </x:c>
      <x:c r="D37" s="28" t="n">
        <x:f>('Ipotesi BP'!D9/'Ipotesi BP'!D10*'Ipotesi BP'!D11+'Ipotesi BP'!D13+'Ipotesi BP'!D15+'Ipotesi BP'!D17)/12*'Ipotesi BP'!D45</x:f>
        <x:v>21.5</x:v>
      </x:c>
      <x:c r="E37" s="28" t="n">
        <x:f>C37*'Ipotesi BP'!D8</x:f>
        <x:v>5.764582672251265</x:v>
      </x:c>
      <x:c r="F37" s="27" t="n">
        <x:f>C37+D37-E37</x:f>
        <x:v>303.964550940312</x:v>
      </x:c>
      <x:c r="G37" s="27" t="n">
        <x:f>(C37+F37)/2</x:f>
        <x:v>296.09684227643766</x:v>
      </x:c>
      <x:c r="H37" s="18" t="n">
        <x:f>G37*'Ipotesi BP'!D6</x:f>
        <x:v>23391.650539838574</x:v>
      </x:c>
      <x:c r="I37" s="18" t="n">
        <x:f>G37*'Ipotesi BP'!D7</x:f>
        <x:v>15707.937482765017</x:v>
      </x:c>
      <x:c r="J37" s="18" t="n">
        <x:f>G37*('Ipotesi BP'!D6*(1+'Ipotesi BP'!D34)*'Ipotesi BP'!D35+'Ipotesi BP'!D36)</x:f>
        <x:v>502.0914154481553</x:v>
      </x:c>
      <x:c r="K37" s="18" t="n">
        <x:f>G37*'Ipotesi BP'!D19+H37*'Ipotesi BP'!D20</x:f>
        <x:v>826.1101899512611</x:v>
      </x:c>
      <x:c r="L37" s="18" t="n">
        <x:f>D37*'Ipotesi BP'!D18</x:f>
        <x:v>516</x:v>
      </x:c>
      <x:c r="M37" s="18" t="n">
        <x:f>('Ipotesi BP'!D9+'Ipotesi BP'!D12+'Ipotesi BP'!D14+'Ipotesi BP'!D16)/12</x:f>
        <x:v>2850</x:v>
      </x:c>
      <x:c r="N37" s="18" t="n">
        <x:f>'Ipotesi BP'!D21/12</x:f>
        <x:v>3000</x:v>
      </x:c>
      <x:c r="O37" s="18" t="n">
        <x:f>'Ipotesi BP'!D22*'Ipotesi BP'!D23/12</x:f>
        <x:v>3182.6666666666665</x:v>
      </x:c>
      <x:c r="P37" s="18" t="n">
        <x:f>'Ipotesi BP'!D24/12</x:f>
        <x:v>1000</x:v>
      </x:c>
      <x:c r="Q37" s="18" t="n">
        <x:f>SUM('Ipotesi BP'!D25:D29)/12</x:f>
        <x:v>1516.6666666666667</x:v>
      </x:c>
      <x:c r="R37" s="17" t="n">
        <x:f>0</x:f>
        <x:v>0</x:v>
      </x:c>
      <x:c r="S37" s="17" t="n">
        <x:f>H37-SUM(I37:R37)</x:f>
        <x:v>-5709.821881659194</x:v>
      </x:c>
      <x:c r="T37" s="17" t="n">
        <x:f>SUM(X6:X37)/36</x:f>
        <x:v>69.44444444444444</x:v>
      </x:c>
      <x:c r="U37" s="17" t="n">
        <x:f>S37-T37</x:f>
        <x:v>-5779.266326103639</x:v>
      </x:c>
      <x:c r="V37" s="18" t="n">
        <x:f>MAX(0,U37)*'Ipotesi BP'!D38+MAX(0,U37+N37)*'Ipotesi BP'!D39</x:f>
        <x:v>0</x:v>
      </x:c>
      <x:c r="W37" s="17" t="n">
        <x:f>U37-V37</x:f>
        <x:v>-5779.266326103639</x:v>
      </x:c>
      <x:c r="X37" s="17" t="n">
        <x:f>0</x:f>
        <x:v>0</x:v>
      </x:c>
      <x:c r="Y37" s="18" t="n">
        <x:f>H37*(1+'Ipotesi BP'!D34)*'Ipotesi BP'!D37/30</x:f>
        <x:v>1902.5209105735373</x:v>
      </x:c>
      <x:c r="Z37" s="17" t="n">
        <x:f>MAX(0,-AO37)</x:f>
        <x:v>6784.494196858004</x:v>
      </x:c>
      <x:c r="AA37" s="17" t="n">
        <x:f>MAX(0,AO37)</x:f>
        <x:v>0</x:v>
      </x:c>
      <x:c r="AB37" s="17" t="n">
        <x:f>Y37+Z37-AA37-Y36-Z36+AA36</x:f>
        <x:v>-207.8106070682952</x:v>
      </x:c>
      <x:c r="AC37" s="17" t="n">
        <x:f>W37+T37-AB37</x:f>
        <x:v>-5502.011274590899</x:v>
      </x:c>
      <x:c r="AD37" s="17" t="n">
        <x:f>0</x:f>
        <x:v>0</x:v>
      </x:c>
      <x:c r="AE37" s="17" t="n">
        <x:f>0</x:f>
        <x:v>0</x:v>
      </x:c>
      <x:c r="AF37" s="17" t="n">
        <x:f>AF36+AC37-X37+AD37+AE37</x:f>
        <x:v>35915.1884449974</x:v>
      </x:c>
      <x:c r="AG37" s="17" t="n">
        <x:f>AG36+AC37-X37+AD37</x:f>
        <x:v>-144084.81155500258</x:v>
      </x:c>
      <x:c r="AH37" s="17" t="n">
        <x:f>SUM($X$6:X37)-SUM($T$6:T37)</x:f>
        <x:v>777.7777777777783</x:v>
      </x:c>
      <x:c r="AI37" s="17" t="n">
        <x:f>SUM($W$6:W37)</x:f>
        <x:v>-144620.0186697933</x:v>
      </x:c>
      <x:c r="AJ37" s="17" t="n">
        <x:f>SUM($AD$6:AE37)</x:f>
        <x:v>190000</x:v>
      </x:c>
      <x:c r="AK37" s="17" t="n">
        <x:f>AF37+Y37+Z37+AH37-AA37-AI37-AJ37</x:f>
        <x:v>0</x:v>
      </x:c>
      <x:c r="AL37" s="18" t="n">
        <x:f>G37*'Ipotesi BP'!D40/60+D37*'Ipotesi BP'!D41/60+'Ipotesi BP'!D44</x:f>
        <x:v>76.02124563685835</x:v>
      </x:c>
      <x:c r="AM37" s="18" t="n">
        <x:f>'Ipotesi BP'!D42+'Ipotesi BP'!D22*'Ipotesi BP'!D43</x:f>
        <x:v>160</x:v>
      </x:c>
      <x:c r="AN37" s="17" t="n">
        <x:f>MAX(0,AL37-AM37)</x:f>
        <x:v>0</x:v>
      </x:c>
      <x:c r="AO37" s="18" t="n">
        <x:f>AO36-MAX(0,AO36)+(H37-I37-G37*'Ipotesi BP'!D19-L37-M37-P37-Q37+'Ipotesi BP'!D27/12-X37)*'Ipotesi BP'!D34</x:f>
        <x:v>-6784.494196858004</x:v>
      </x:c>
    </x:row>
    <x:row r="38" ht="25" customHeight="1">
      <x:c r="A38" s="17" t="n">
        <x:f>33</x:f>
        <x:v>33</x:v>
      </x:c>
      <x:c r="B38" s="26" t="n">
        <x:f>2029</x:f>
        <x:v>2029</x:v>
      </x:c>
      <x:c r="C38" s="27" t="n">
        <x:f>F37</x:f>
        <x:v>303.964550940312</x:v>
      </x:c>
      <x:c r="D38" s="28" t="n">
        <x:f>('Ipotesi BP'!D9/'Ipotesi BP'!D10*'Ipotesi BP'!D11+'Ipotesi BP'!D13+'Ipotesi BP'!D15+'Ipotesi BP'!D17)/12*'Ipotesi BP'!D45</x:f>
        <x:v>21.5</x:v>
      </x:c>
      <x:c r="E38" s="28" t="n">
        <x:f>C38*'Ipotesi BP'!D8</x:f>
        <x:v>6.07929101880624</x:v>
      </x:c>
      <x:c r="F38" s="27" t="n">
        <x:f>C38+D38-E38</x:f>
        <x:v>319.38525992150574</x:v>
      </x:c>
      <x:c r="G38" s="27" t="n">
        <x:f>(C38+F38)/2</x:f>
        <x:v>311.6749054309089</x:v>
      </x:c>
      <x:c r="H38" s="18" t="n">
        <x:f>G38*'Ipotesi BP'!D6</x:f>
        <x:v>24622.317529041804</x:v>
      </x:c>
      <x:c r="I38" s="18" t="n">
        <x:f>G38*'Ipotesi BP'!D7</x:f>
        <x:v>16534.353733109718</x:v>
      </x:c>
      <x:c r="J38" s="18" t="n">
        <x:f>G38*('Ipotesi BP'!D6*(1+'Ipotesi BP'!D34)*'Ipotesi BP'!D35+'Ipotesi BP'!D36)</x:f>
        <x:v>528.5071371391922</x:v>
      </x:c>
      <x:c r="K38" s="18" t="n">
        <x:f>G38*'Ipotesi BP'!D19+H38*'Ipotesi BP'!D20</x:f>
        <x:v>869.5729861522359</x:v>
      </x:c>
      <x:c r="L38" s="18" t="n">
        <x:f>D38*'Ipotesi BP'!D18</x:f>
        <x:v>516</x:v>
      </x:c>
      <x:c r="M38" s="18" t="n">
        <x:f>('Ipotesi BP'!D9+'Ipotesi BP'!D12+'Ipotesi BP'!D14+'Ipotesi BP'!D16)/12</x:f>
        <x:v>2850</x:v>
      </x:c>
      <x:c r="N38" s="18" t="n">
        <x:f>'Ipotesi BP'!D21/12</x:f>
        <x:v>3000</x:v>
      </x:c>
      <x:c r="O38" s="18" t="n">
        <x:f>'Ipotesi BP'!D22*'Ipotesi BP'!D23/12</x:f>
        <x:v>3182.6666666666665</x:v>
      </x:c>
      <x:c r="P38" s="18" t="n">
        <x:f>'Ipotesi BP'!D24/12</x:f>
        <x:v>1000</x:v>
      </x:c>
      <x:c r="Q38" s="18" t="n">
        <x:f>SUM('Ipotesi BP'!D25:D29)/12</x:f>
        <x:v>1516.6666666666667</x:v>
      </x:c>
      <x:c r="R38" s="17" t="n">
        <x:f>0</x:f>
        <x:v>0</x:v>
      </x:c>
      <x:c r="S38" s="17" t="n">
        <x:f>H38-SUM(I38:R38)</x:f>
        <x:v>-5375.4496606926805</x:v>
      </x:c>
      <x:c r="T38" s="17" t="n">
        <x:f>SUM(X6:X38)/36</x:f>
        <x:v>69.44444444444444</x:v>
      </x:c>
      <x:c r="U38" s="17" t="n">
        <x:f>S38-T38</x:f>
        <x:v>-5444.894105137125</x:v>
      </x:c>
      <x:c r="V38" s="18" t="n">
        <x:f>MAX(0,U38)*'Ipotesi BP'!D38+MAX(0,U38+N38)*'Ipotesi BP'!D39</x:f>
        <x:v>0</x:v>
      </x:c>
      <x:c r="W38" s="17" t="n">
        <x:f>U38-V38</x:f>
        <x:v>-5444.894105137125</x:v>
      </x:c>
      <x:c r="X38" s="17" t="n">
        <x:f>0</x:f>
        <x:v>0</x:v>
      </x:c>
      <x:c r="Y38" s="18" t="n">
        <x:f>H38*(1+'Ipotesi BP'!D34)*'Ipotesi BP'!D37/30</x:f>
        <x:v>2002.6151590287334</x:v>
      </x:c>
      <x:c r="Z38" s="17" t="n">
        <x:f>MAX(0,-AO38)</x:f>
        <x:v>6392.465786809212</x:v>
      </x:c>
      <x:c r="AA38" s="17" t="n">
        <x:f>MAX(0,AO38)</x:f>
        <x:v>0</x:v>
      </x:c>
      <x:c r="AB38" s="17" t="n">
        <x:f>Y38+Z38-AA38-Y37-Z37+AA37</x:f>
        <x:v>-291.9341615935973</x:v>
      </x:c>
      <x:c r="AC38" s="17" t="n">
        <x:f>W38+T38-AB38</x:f>
        <x:v>-5083.515499099083</x:v>
      </x:c>
      <x:c r="AD38" s="17" t="n">
        <x:f>0</x:f>
        <x:v>0</x:v>
      </x:c>
      <x:c r="AE38" s="17" t="n">
        <x:f>0</x:f>
        <x:v>0</x:v>
      </x:c>
      <x:c r="AF38" s="17" t="n">
        <x:f>AF37+AC38-X38+AD38+AE38</x:f>
        <x:v>30831.672945898317</x:v>
      </x:c>
      <x:c r="AG38" s="17" t="n">
        <x:f>AG37+AC38-X38+AD38</x:f>
        <x:v>-149168.32705410165</x:v>
      </x:c>
      <x:c r="AH38" s="17" t="n">
        <x:f>SUM($X$6:X38)-SUM($T$6:T38)</x:f>
        <x:v>708.3333333333339</x:v>
      </x:c>
      <x:c r="AI38" s="17" t="n">
        <x:f>SUM($W$6:W38)</x:f>
        <x:v>-150064.91277493042</x:v>
      </x:c>
      <x:c r="AJ38" s="17" t="n">
        <x:f>SUM($AD$6:AE38)</x:f>
        <x:v>190000</x:v>
      </x:c>
      <x:c r="AK38" s="17" t="n">
        <x:f>AF38+Y38+Z38+AH38-AA38-AI38-AJ38</x:f>
        <x:v>0</x:v>
      </x:c>
      <x:c r="AL38" s="18" t="n">
        <x:f>G38*'Ipotesi BP'!D40/60+D38*'Ipotesi BP'!D41/60+'Ipotesi BP'!D44</x:f>
        <x:v>78.09832072412118</x:v>
      </x:c>
      <x:c r="AM38" s="18" t="n">
        <x:f>'Ipotesi BP'!D42+'Ipotesi BP'!D22*'Ipotesi BP'!D43</x:f>
        <x:v>160</x:v>
      </x:c>
      <x:c r="AN38" s="17" t="n">
        <x:f>MAX(0,AL38-AM38)</x:f>
        <x:v>0</x:v>
      </x:c>
      <x:c r="AO38" s="18" t="n">
        <x:f>AO37-MAX(0,AO37)+(H38-I38-G38*'Ipotesi BP'!D19-L38-M38-P38-Q38+'Ipotesi BP'!D27/12-X38)*'Ipotesi BP'!D34</x:f>
        <x:v>-6392.465786809212</x:v>
      </x:c>
    </x:row>
    <x:row r="39" ht="25" customHeight="1">
      <x:c r="A39" s="17" t="n">
        <x:f>34</x:f>
        <x:v>34</x:v>
      </x:c>
      <x:c r="B39" s="26" t="n">
        <x:f>2029</x:f>
        <x:v>2029</x:v>
      </x:c>
      <x:c r="C39" s="27" t="n">
        <x:f>F38</x:f>
        <x:v>319.38525992150574</x:v>
      </x:c>
      <x:c r="D39" s="28" t="n">
        <x:f>('Ipotesi BP'!D9/'Ipotesi BP'!D10*'Ipotesi BP'!D11+'Ipotesi BP'!D13+'Ipotesi BP'!D15+'Ipotesi BP'!D17)/12*'Ipotesi BP'!D45</x:f>
        <x:v>21.5</x:v>
      </x:c>
      <x:c r="E39" s="28" t="n">
        <x:f>C39*'Ipotesi BP'!D8</x:f>
        <x:v>6.3877051984301145</x:v>
      </x:c>
      <x:c r="F39" s="27" t="n">
        <x:f>C39+D39-E39</x:f>
        <x:v>334.4975547230756</x:v>
      </x:c>
      <x:c r="G39" s="27" t="n">
        <x:f>(C39+F39)/2</x:f>
        <x:v>326.9414073222907</x:v>
      </x:c>
      <x:c r="H39" s="18" t="n">
        <x:f>G39*'Ipotesi BP'!D6</x:f>
        <x:v>25828.371178460962</x:v>
      </x:c>
      <x:c r="I39" s="18" t="n">
        <x:f>G39*'Ipotesi BP'!D7</x:f>
        <x:v>17344.241658447518</x:v>
      </x:c>
      <x:c r="J39" s="18" t="n">
        <x:f>G39*('Ipotesi BP'!D6*(1+'Ipotesi BP'!D34)*'Ipotesi BP'!D35+'Ipotesi BP'!D36)</x:f>
        <x:v>554.3945443964083</x:v>
      </x:c>
      <x:c r="K39" s="18" t="n">
        <x:f>G39*'Ipotesi BP'!D19+H39*'Ipotesi BP'!D20</x:f>
        <x:v>912.166526429191</x:v>
      </x:c>
      <x:c r="L39" s="18" t="n">
        <x:f>D39*'Ipotesi BP'!D18</x:f>
        <x:v>516</x:v>
      </x:c>
      <x:c r="M39" s="18" t="n">
        <x:f>('Ipotesi BP'!D9+'Ipotesi BP'!D12+'Ipotesi BP'!D14+'Ipotesi BP'!D16)/12</x:f>
        <x:v>2850</x:v>
      </x:c>
      <x:c r="N39" s="18" t="n">
        <x:f>'Ipotesi BP'!D21/12</x:f>
        <x:v>3000</x:v>
      </x:c>
      <x:c r="O39" s="18" t="n">
        <x:f>'Ipotesi BP'!D22*'Ipotesi BP'!D23/12</x:f>
        <x:v>3182.6666666666665</x:v>
      </x:c>
      <x:c r="P39" s="18" t="n">
        <x:f>'Ipotesi BP'!D24/12</x:f>
        <x:v>1000</x:v>
      </x:c>
      <x:c r="Q39" s="18" t="n">
        <x:f>SUM('Ipotesi BP'!D25:D29)/12</x:f>
        <x:v>1516.6666666666667</x:v>
      </x:c>
      <x:c r="R39" s="17" t="n">
        <x:f>0</x:f>
        <x:v>0</x:v>
      </x:c>
      <x:c r="S39" s="17" t="n">
        <x:f>H39-SUM(I39:R39)</x:f>
        <x:v>-5047.76488414549</x:v>
      </x:c>
      <x:c r="T39" s="17" t="n">
        <x:f>SUM(X6:X39)/36</x:f>
        <x:v>69.44444444444444</x:v>
      </x:c>
      <x:c r="U39" s="17" t="n">
        <x:f>S39-T39</x:f>
        <x:v>-5117.209328589935</x:v>
      </x:c>
      <x:c r="V39" s="18" t="n">
        <x:f>MAX(0,U39)*'Ipotesi BP'!D38+MAX(0,U39+N39)*'Ipotesi BP'!D39</x:f>
        <x:v>0</x:v>
      </x:c>
      <x:c r="W39" s="17" t="n">
        <x:f>U39-V39</x:f>
        <x:v>-5117.209328589935</x:v>
      </x:c>
      <x:c r="X39" s="17" t="n">
        <x:f>0</x:f>
        <x:v>0</x:v>
      </x:c>
      <x:c r="Y39" s="18" t="n">
        <x:f>H39*(1+'Ipotesi BP'!D34)*'Ipotesi BP'!D37/30</x:f>
        <x:v>2100.7075225148246</x:v>
      </x:c>
      <x:c r="Z39" s="17" t="n">
        <x:f>MAX(0,-AO39)</x:f>
        <x:v>5919.998178294729</x:v>
      </x:c>
      <x:c r="AA39" s="17" t="n">
        <x:f>MAX(0,AO39)</x:f>
        <x:v>0</x:v>
      </x:c>
      <x:c r="AB39" s="17" t="n">
        <x:f>Y39+Z39-AA39-Y38-Z38+AA38</x:f>
        <x:v>-374.3752450283919</x:v>
      </x:c>
      <x:c r="AC39" s="17" t="n">
        <x:f>W39+T39-AB39</x:f>
        <x:v>-4673.389639117098</x:v>
      </x:c>
      <x:c r="AD39" s="17" t="n">
        <x:f>0</x:f>
        <x:v>0</x:v>
      </x:c>
      <x:c r="AE39" s="17" t="n">
        <x:f>0</x:f>
        <x:v>0</x:v>
      </x:c>
      <x:c r="AF39" s="17" t="n">
        <x:f>AF38+AC39-X39+AD39+AE39</x:f>
        <x:v>26158.283306781217</x:v>
      </x:c>
      <x:c r="AG39" s="17" t="n">
        <x:f>AG38+AC39-X39+AD39</x:f>
        <x:v>-153841.71669321874</x:v>
      </x:c>
      <x:c r="AH39" s="17" t="n">
        <x:f>SUM($X$6:X39)-SUM($T$6:T39)</x:f>
        <x:v>638.8888888888896</x:v>
      </x:c>
      <x:c r="AI39" s="17" t="n">
        <x:f>SUM($W$6:W39)</x:f>
        <x:v>-155182.12210352035</x:v>
      </x:c>
      <x:c r="AJ39" s="17" t="n">
        <x:f>SUM($AD$6:AE39)</x:f>
        <x:v>190000</x:v>
      </x:c>
      <x:c r="AK39" s="17" t="n">
        <x:f>AF39+Y39+Z39+AH39-AA39-AI39-AJ39</x:f>
        <x:v>0</x:v>
      </x:c>
      <x:c r="AL39" s="18" t="n">
        <x:f>G39*'Ipotesi BP'!D40/60+D39*'Ipotesi BP'!D41/60+'Ipotesi BP'!D44</x:f>
        <x:v>80.13385430963876</x:v>
      </x:c>
      <x:c r="AM39" s="18" t="n">
        <x:f>'Ipotesi BP'!D42+'Ipotesi BP'!D22*'Ipotesi BP'!D43</x:f>
        <x:v>160</x:v>
      </x:c>
      <x:c r="AN39" s="17" t="n">
        <x:f>MAX(0,AL39-AM39)</x:f>
        <x:v>0</x:v>
      </x:c>
      <x:c r="AO39" s="18" t="n">
        <x:f>AO38-MAX(0,AO38)+(H39-I39-G39*'Ipotesi BP'!D19-L39-M39-P39-Q39+'Ipotesi BP'!D27/12-X39)*'Ipotesi BP'!D34</x:f>
        <x:v>-5919.998178294729</x:v>
      </x:c>
    </x:row>
    <x:row r="40" ht="25" customHeight="1">
      <x:c r="A40" s="17" t="n">
        <x:f>35</x:f>
        <x:v>35</x:v>
      </x:c>
      <x:c r="B40" s="26" t="n">
        <x:f>2029</x:f>
        <x:v>2029</x:v>
      </x:c>
      <x:c r="C40" s="27" t="n">
        <x:f>F39</x:f>
        <x:v>334.4975547230756</x:v>
      </x:c>
      <x:c r="D40" s="28" t="n">
        <x:f>('Ipotesi BP'!D9/'Ipotesi BP'!D10*'Ipotesi BP'!D11+'Ipotesi BP'!D13+'Ipotesi BP'!D15+'Ipotesi BP'!D17)/12*'Ipotesi BP'!D45</x:f>
        <x:v>21.5</x:v>
      </x:c>
      <x:c r="E40" s="28" t="n">
        <x:f>C40*'Ipotesi BP'!D8</x:f>
        <x:v>6.689951094461512</x:v>
      </x:c>
      <x:c r="F40" s="27" t="n">
        <x:f>C40+D40-E40</x:f>
        <x:v>349.3076036286141</x:v>
      </x:c>
      <x:c r="G40" s="27" t="n">
        <x:f>(C40+F40)/2</x:f>
        <x:v>341.90257917584483</x:v>
      </x:c>
      <x:c r="H40" s="18" t="n">
        <x:f>G40*'Ipotesi BP'!D6</x:f>
        <x:v>27010.303754891742</x:v>
      </x:c>
      <x:c r="I40" s="18" t="n">
        <x:f>G40*'Ipotesi BP'!D7</x:f>
        <x:v>18137.931825278567</x:v>
      </x:c>
      <x:c r="J40" s="18" t="n">
        <x:f>G40*('Ipotesi BP'!D6*(1+'Ipotesi BP'!D34)*'Ipotesi BP'!D35+'Ipotesi BP'!D36)</x:f>
        <x:v>579.7642035084801</x:v>
      </x:c>
      <x:c r="K40" s="18" t="n">
        <x:f>G40*'Ipotesi BP'!D19+H40*'Ipotesi BP'!D20</x:f>
        <x:v>953.9081959006071</x:v>
      </x:c>
      <x:c r="L40" s="18" t="n">
        <x:f>D40*'Ipotesi BP'!D18</x:f>
        <x:v>516</x:v>
      </x:c>
      <x:c r="M40" s="18" t="n">
        <x:f>('Ipotesi BP'!D9+'Ipotesi BP'!D12+'Ipotesi BP'!D14+'Ipotesi BP'!D16)/12</x:f>
        <x:v>2850</x:v>
      </x:c>
      <x:c r="N40" s="18" t="n">
        <x:f>'Ipotesi BP'!D21/12</x:f>
        <x:v>3000</x:v>
      </x:c>
      <x:c r="O40" s="18" t="n">
        <x:f>'Ipotesi BP'!D22*'Ipotesi BP'!D23/12</x:f>
        <x:v>3182.6666666666665</x:v>
      </x:c>
      <x:c r="P40" s="18" t="n">
        <x:f>'Ipotesi BP'!D24/12</x:f>
        <x:v>1000</x:v>
      </x:c>
      <x:c r="Q40" s="18" t="n">
        <x:f>SUM('Ipotesi BP'!D25:D29)/12</x:f>
        <x:v>1516.6666666666667</x:v>
      </x:c>
      <x:c r="R40" s="17" t="n">
        <x:f>0</x:f>
        <x:v>0</x:v>
      </x:c>
      <x:c r="S40" s="17" t="n">
        <x:f>H40-SUM(I40:R40)</x:f>
        <x:v>-4726.633803129247</x:v>
      </x:c>
      <x:c r="T40" s="17" t="n">
        <x:f>SUM(X6:X40)/36</x:f>
        <x:v>69.44444444444444</x:v>
      </x:c>
      <x:c r="U40" s="17" t="n">
        <x:f>S40-T40</x:f>
        <x:v>-4796.078247573691</x:v>
      </x:c>
      <x:c r="V40" s="18" t="n">
        <x:f>MAX(0,U40)*'Ipotesi BP'!D38+MAX(0,U40+N40)*'Ipotesi BP'!D39</x:f>
        <x:v>0</x:v>
      </x:c>
      <x:c r="W40" s="17" t="n">
        <x:f>U40-V40</x:f>
        <x:v>-4796.078247573691</x:v>
      </x:c>
      <x:c r="X40" s="17" t="n">
        <x:f>0</x:f>
        <x:v>0</x:v>
      </x:c>
      <x:c r="Y40" s="18" t="n">
        <x:f>H40*(1+'Ipotesi BP'!D34)*'Ipotesi BP'!D37/30</x:f>
        <x:v>2196.838038731195</x:v>
      </x:c>
      <x:c r="Z40" s="17" t="n">
        <x:f>MAX(0,-AO40)</x:f>
        <x:v>5368.700155283869</x:v>
      </x:c>
      <x:c r="AA40" s="17" t="n">
        <x:f>MAX(0,AO40)</x:f>
        <x:v>0</x:v>
      </x:c>
      <x:c r="AB40" s="17" t="n">
        <x:f>Y40+Z40-AA40-Y39-Z39+AA39</x:f>
        <x:v>-455.1675067944898</x:v>
      </x:c>
      <x:c r="AC40" s="17" t="n">
        <x:f>W40+T40-AB40</x:f>
        <x:v>-4271.466296334757</x:v>
      </x:c>
      <x:c r="AD40" s="17" t="n">
        <x:f>0</x:f>
        <x:v>0</x:v>
      </x:c>
      <x:c r="AE40" s="17" t="n">
        <x:f>0</x:f>
        <x:v>0</x:v>
      </x:c>
      <x:c r="AF40" s="17" t="n">
        <x:f>AF39+AC40-X40+AD40+AE40</x:f>
        <x:v>21886.81701044646</x:v>
      </x:c>
      <x:c r="AG40" s="17" t="n">
        <x:f>AG39+AC40-X40+AD40</x:f>
        <x:v>-158113.1829895535</x:v>
      </x:c>
      <x:c r="AH40" s="17" t="n">
        <x:f>SUM($X$6:X40)-SUM($T$6:T40)</x:f>
        <x:v>569.4444444444453</x:v>
      </x:c>
      <x:c r="AI40" s="17" t="n">
        <x:f>SUM($W$6:W40)</x:f>
        <x:v>-159978.20035109404</x:v>
      </x:c>
      <x:c r="AJ40" s="17" t="n">
        <x:f>SUM($AD$6:AE40)</x:f>
        <x:v>190000</x:v>
      </x:c>
      <x:c r="AK40" s="17" t="n">
        <x:f>AF40+Y40+Z40+AH40-AA40-AI40-AJ40</x:f>
        <x:v>0</x:v>
      </x:c>
      <x:c r="AL40" s="18" t="n">
        <x:f>G40*'Ipotesi BP'!D40/60+D40*'Ipotesi BP'!D41/60+'Ipotesi BP'!D44</x:f>
        <x:v>82.12867722344598</x:v>
      </x:c>
      <x:c r="AM40" s="18" t="n">
        <x:f>'Ipotesi BP'!D42+'Ipotesi BP'!D22*'Ipotesi BP'!D43</x:f>
        <x:v>160</x:v>
      </x:c>
      <x:c r="AN40" s="17" t="n">
        <x:f>MAX(0,AL40-AM40)</x:f>
        <x:v>0</x:v>
      </x:c>
      <x:c r="AO40" s="18" t="n">
        <x:f>AO39-MAX(0,AO39)+(H40-I40-G40*'Ipotesi BP'!D19-L40-M40-P40-Q40+'Ipotesi BP'!D27/12-X40)*'Ipotesi BP'!D34</x:f>
        <x:v>-5368.700155283869</x:v>
      </x:c>
    </x:row>
    <x:row r="41" ht="25" customHeight="1">
      <x:c r="A41" s="17" t="n">
        <x:f>36</x:f>
        <x:v>36</x:v>
      </x:c>
      <x:c r="B41" s="26" t="n">
        <x:f>2029</x:f>
        <x:v>2029</x:v>
      </x:c>
      <x:c r="C41" s="27" t="n">
        <x:f>F40</x:f>
        <x:v>349.3076036286141</x:v>
      </x:c>
      <x:c r="D41" s="28" t="n">
        <x:f>('Ipotesi BP'!D9/'Ipotesi BP'!D10*'Ipotesi BP'!D11+'Ipotesi BP'!D13+'Ipotesi BP'!D15+'Ipotesi BP'!D17)/12*'Ipotesi BP'!D45</x:f>
        <x:v>21.5</x:v>
      </x:c>
      <x:c r="E41" s="28" t="n">
        <x:f>C41*'Ipotesi BP'!D8</x:f>
        <x:v>6.986152072572282</x:v>
      </x:c>
      <x:c r="F41" s="27" t="n">
        <x:f>C41+D41-E41</x:f>
        <x:v>363.82145155604184</x:v>
      </x:c>
      <x:c r="G41" s="27" t="n">
        <x:f>(C41+F41)/2</x:f>
        <x:v>356.564527592328</x:v>
      </x:c>
      <x:c r="H41" s="18" t="n">
        <x:f>G41*'Ipotesi BP'!D6</x:f>
        <x:v>28168.59767979391</x:v>
      </x:c>
      <x:c r="I41" s="18" t="n">
        <x:f>G41*'Ipotesi BP'!D7</x:f>
        <x:v>18915.748188773</x:v>
      </x:c>
      <x:c r="J41" s="18" t="n">
        <x:f>G41*('Ipotesi BP'!D6*(1+'Ipotesi BP'!D34)*'Ipotesi BP'!D35+'Ipotesi BP'!D36)</x:f>
        <x:v>604.6264694383106</x:v>
      </x:c>
      <x:c r="K41" s="18" t="n">
        <x:f>G41*'Ipotesi BP'!D19+H41*'Ipotesi BP'!D20</x:f>
        <x:v>994.8150319825951</x:v>
      </x:c>
      <x:c r="L41" s="18" t="n">
        <x:f>D41*'Ipotesi BP'!D18</x:f>
        <x:v>516</x:v>
      </x:c>
      <x:c r="M41" s="18" t="n">
        <x:f>('Ipotesi BP'!D9+'Ipotesi BP'!D12+'Ipotesi BP'!D14+'Ipotesi BP'!D16)/12</x:f>
        <x:v>2850</x:v>
      </x:c>
      <x:c r="N41" s="18" t="n">
        <x:f>'Ipotesi BP'!D21/12</x:f>
        <x:v>3000</x:v>
      </x:c>
      <x:c r="O41" s="18" t="n">
        <x:f>'Ipotesi BP'!D22*'Ipotesi BP'!D23/12</x:f>
        <x:v>3182.6666666666665</x:v>
      </x:c>
      <x:c r="P41" s="18" t="n">
        <x:f>'Ipotesi BP'!D24/12</x:f>
        <x:v>1000</x:v>
      </x:c>
      <x:c r="Q41" s="18" t="n">
        <x:f>SUM('Ipotesi BP'!D25:D29)/12</x:f>
        <x:v>1516.6666666666667</x:v>
      </x:c>
      <x:c r="R41" s="17" t="n">
        <x:f>0</x:f>
        <x:v>0</x:v>
      </x:c>
      <x:c r="S41" s="17" t="n">
        <x:f>H41-SUM(I41:R41)</x:f>
        <x:v>-4411.925343733328</x:v>
      </x:c>
      <x:c r="T41" s="17" t="n">
        <x:f>SUM(X6:X41)/36</x:f>
        <x:v>69.44444444444444</x:v>
      </x:c>
      <x:c r="U41" s="17" t="n">
        <x:f>S41-T41</x:f>
        <x:v>-4481.3697881777725</x:v>
      </x:c>
      <x:c r="V41" s="18" t="n">
        <x:f>MAX(0,U41)*'Ipotesi BP'!D38+MAX(0,U41+N41)*'Ipotesi BP'!D39</x:f>
        <x:v>0</x:v>
      </x:c>
      <x:c r="W41" s="17" t="n">
        <x:f>U41-V41</x:f>
        <x:v>-4481.3697881777725</x:v>
      </x:c>
      <x:c r="X41" s="17" t="n">
        <x:f>0</x:f>
        <x:v>0</x:v>
      </x:c>
      <x:c r="Y41" s="18" t="n">
        <x:f>H41*(1+'Ipotesi BP'!D34)*'Ipotesi BP'!D37/30</x:f>
        <x:v>2291.0459446232385</x:v>
      </x:c>
      <x:c r="Z41" s="17" t="n">
        <x:f>MAX(0,-AO41)</x:f>
        <x:v>4740.14832606656</x:v>
      </x:c>
      <x:c r="AA41" s="17" t="n">
        <x:f>MAX(0,AO41)</x:f>
        <x:v>0</x:v>
      </x:c>
      <x:c r="AB41" s="17" t="n">
        <x:f>Y41+Z41-AA41-Y40-Z40+AA40</x:f>
        <x:v>-534.3439233252657</x:v>
      </x:c>
      <x:c r="AC41" s="17" t="n">
        <x:f>W41+T41-AB41</x:f>
        <x:v>-3877.5814204080625</x:v>
      </x:c>
      <x:c r="AD41" s="17" t="n">
        <x:f>0</x:f>
        <x:v>0</x:v>
      </x:c>
      <x:c r="AE41" s="17" t="n">
        <x:f>0</x:f>
        <x:v>0</x:v>
      </x:c>
      <x:c r="AF41" s="17" t="n">
        <x:f>AF40+AC41-X41+AD41+AE41</x:f>
        <x:v>18009.235590038395</x:v>
      </x:c>
      <x:c r="AG41" s="17" t="n">
        <x:f>AG40+AC41-X41+AD41</x:f>
        <x:v>-161990.76440996156</x:v>
      </x:c>
      <x:c r="AH41" s="17" t="n">
        <x:f>SUM($X$6:X41)-SUM($T$6:T41)</x:f>
        <x:v>500.0000000000009</x:v>
      </x:c>
      <x:c r="AI41" s="17" t="n">
        <x:f>SUM($W$6:W41)</x:f>
        <x:v>-164459.57013927182</x:v>
      </x:c>
      <x:c r="AJ41" s="17" t="n">
        <x:f>SUM($AD$6:AE41)</x:f>
        <x:v>190000</x:v>
      </x:c>
      <x:c r="AK41" s="17" t="n">
        <x:f>AF41+Y41+Z41+AH41-AA41-AI41-AJ41</x:f>
        <x:v>0</x:v>
      </x:c>
      <x:c r="AL41" s="18" t="n">
        <x:f>G41*'Ipotesi BP'!D40/60+D41*'Ipotesi BP'!D41/60+'Ipotesi BP'!D44</x:f>
        <x:v>84.08360367897706</x:v>
      </x:c>
      <x:c r="AM41" s="18" t="n">
        <x:f>'Ipotesi BP'!D42+'Ipotesi BP'!D22*'Ipotesi BP'!D43</x:f>
        <x:v>160</x:v>
      </x:c>
      <x:c r="AN41" s="17" t="n">
        <x:f>MAX(0,AL41-AM41)</x:f>
        <x:v>0</x:v>
      </x:c>
      <x:c r="AO41" s="18" t="n">
        <x:f>AO40-MAX(0,AO40)+(H41-I41-G41*'Ipotesi BP'!D19-L41-M41-P41-Q41+'Ipotesi BP'!D27/12-X41)*'Ipotesi BP'!D34</x:f>
        <x:v>-4740.14832606656</x:v>
      </x:c>
    </x:row>
    <x:row r="42" ht="25" customHeight="1">
      <x:c r="A42" s="17" t="n">
        <x:f>37</x:f>
        <x:v>37</x:v>
      </x:c>
      <x:c r="B42" s="26" t="n">
        <x:f>2030</x:f>
        <x:v>2030</x:v>
      </x:c>
      <x:c r="C42" s="27" t="n">
        <x:f>F41</x:f>
        <x:v>363.82145155604184</x:v>
      </x:c>
      <x:c r="D42" s="28" t="n">
        <x:f>('Ipotesi BP'!E9/'Ipotesi BP'!E10*'Ipotesi BP'!E11+'Ipotesi BP'!E13+'Ipotesi BP'!E15+'Ipotesi BP'!E17)/12*'Ipotesi BP'!E45</x:f>
        <x:v>33.333333333333336</x:v>
      </x:c>
      <x:c r="E42" s="28" t="n">
        <x:f>C42*'Ipotesi BP'!E8</x:f>
        <x:v>7.276429031120837</x:v>
      </x:c>
      <x:c r="F42" s="27" t="n">
        <x:f>C42+D42-E42</x:f>
        <x:v>389.87835585825434</x:v>
      </x:c>
      <x:c r="G42" s="27" t="n">
        <x:f>(C42+F42)/2</x:f>
        <x:v>376.8499037071481</x:v>
      </x:c>
      <x:c r="H42" s="18" t="n">
        <x:f>G42*'Ipotesi BP'!E6</x:f>
        <x:v>29771.1423928647</x:v>
      </x:c>
      <x:c r="I42" s="18" t="n">
        <x:f>G42*'Ipotesi BP'!E7</x:f>
        <x:v>20591.07873855857</x:v>
      </x:c>
      <x:c r="J42" s="18" t="n">
        <x:f>G42*('Ipotesi BP'!E6*(1+'Ipotesi BP'!E34)*'Ipotesi BP'!E35+'Ipotesi BP'!E36)</x:f>
        <x:v>639.024381716211</x:v>
      </x:c>
      <x:c r="K42" s="18" t="n">
        <x:f>G42*'Ipotesi BP'!E19+H42*'Ipotesi BP'!E20</x:f>
        <x:v>1051.4112313429432</x:v>
      </x:c>
      <x:c r="L42" s="18" t="n">
        <x:f>D42*'Ipotesi BP'!E18</x:f>
        <x:v>800</x:v>
      </x:c>
      <x:c r="M42" s="18" t="n">
        <x:f>('Ipotesi BP'!E9+'Ipotesi BP'!E12+'Ipotesi BP'!E14+'Ipotesi BP'!E16)/12</x:f>
        <x:v>4350</x:v>
      </x:c>
      <x:c r="N42" s="18" t="n">
        <x:f>'Ipotesi BP'!E21/12</x:f>
        <x:v>3500</x:v>
      </x:c>
      <x:c r="O42" s="18" t="n">
        <x:f>'Ipotesi BP'!E22*'Ipotesi BP'!E23/12</x:f>
        <x:v>4917.25</x:v>
      </x:c>
      <x:c r="P42" s="18" t="n">
        <x:f>'Ipotesi BP'!E24/12</x:f>
        <x:v>1250</x:v>
      </x:c>
      <x:c r="Q42" s="18" t="n">
        <x:f>SUM('Ipotesi BP'!E25:E29)/12</x:f>
        <x:v>1850</x:v>
      </x:c>
      <x:c r="R42" s="18" t="n">
        <x:f>'Ipotesi BP'!E30</x:f>
        <x:v>0</x:v>
      </x:c>
      <x:c r="S42" s="17" t="n">
        <x:f>H42-SUM(I42:R42)</x:f>
        <x:v>-9177.621958753029</x:v>
      </x:c>
      <x:c r="T42" s="17" t="n">
        <x:f>SUM(X7:X42)/36</x:f>
        <x:v>55.55555555555556</x:v>
      </x:c>
      <x:c r="U42" s="17" t="n">
        <x:f>S42-T42</x:f>
        <x:v>-9233.177514308583</x:v>
      </x:c>
      <x:c r="V42" s="18" t="n">
        <x:f>MAX(0,U42)*'Ipotesi BP'!E38+MAX(0,U42+N42)*'Ipotesi BP'!E39</x:f>
        <x:v>0</x:v>
      </x:c>
      <x:c r="W42" s="17" t="n">
        <x:f>U42-V42</x:f>
        <x:v>-9233.177514308583</x:v>
      </x:c>
      <x:c r="X42" s="18" t="n">
        <x:f>'Ipotesi BP'!E31</x:f>
        <x:v>1000</x:v>
      </x:c>
      <x:c r="Y42" s="18" t="n">
        <x:f>H42*(1+'Ipotesi BP'!E34)*'Ipotesi BP'!E37/30</x:f>
        <x:v>2421.3862479529953</x:v>
      </x:c>
      <x:c r="Z42" s="17" t="n">
        <x:f>MAX(0,-AO42)</x:f>
        <x:v>4866.3482797503575</x:v>
      </x:c>
      <x:c r="AA42" s="17" t="n">
        <x:f>MAX(0,AO42)</x:f>
        <x:v>0</x:v>
      </x:c>
      <x:c r="AB42" s="17" t="n">
        <x:f>Y42+Z42-AA42-Y41-Z41+AA41</x:f>
        <x:v>256.54025701355476</x:v>
      </x:c>
      <x:c r="AC42" s="17" t="n">
        <x:f>W42+T42-AB42</x:f>
        <x:v>-9434.162215766584</x:v>
      </x:c>
      <x:c r="AD42" s="18" t="n">
        <x:f>'Ipotesi BP'!E32</x:f>
        <x:v>0</x:v>
      </x:c>
      <x:c r="AE42" s="18" t="n">
        <x:f>'Ipotesi BP'!E33</x:f>
        <x:v>70000</x:v>
      </x:c>
      <x:c r="AF42" s="17" t="n">
        <x:f>AF41+AC42-X42+AD42+AE42</x:f>
        <x:v>77575.07337427181</x:v>
      </x:c>
      <x:c r="AG42" s="17" t="n">
        <x:f>AG41+AC42-X42+AD42</x:f>
        <x:v>-172424.92662572814</x:v>
      </x:c>
      <x:c r="AH42" s="17" t="n">
        <x:f>SUM($X$6:X42)-SUM($T$6:T42)</x:f>
        <x:v>1444.4444444444453</x:v>
      </x:c>
      <x:c r="AI42" s="17" t="n">
        <x:f>SUM($W$6:W42)</x:f>
        <x:v>-173692.7476535804</x:v>
      </x:c>
      <x:c r="AJ42" s="17" t="n">
        <x:f>SUM($AD$6:AE42)</x:f>
        <x:v>260000</x:v>
      </x:c>
      <x:c r="AK42" s="17" t="n">
        <x:f>AF42+Y42+Z42+AH42-AA42-AI42-AJ42</x:f>
        <x:v>0</x:v>
      </x:c>
      <x:c r="AL42" s="18" t="n">
        <x:f>G42*'Ipotesi BP'!E40/60+D42*'Ipotesi BP'!E41/60+'Ipotesi BP'!E44</x:f>
        <x:v>99.6910982720642</x:v>
      </x:c>
      <x:c r="AM42" s="18" t="n">
        <x:f>'Ipotesi BP'!E42+'Ipotesi BP'!E22*'Ipotesi BP'!E43</x:f>
        <x:v>220</x:v>
      </x:c>
      <x:c r="AN42" s="17" t="n">
        <x:f>MAX(0,AL42-AM42)</x:f>
        <x:v>0</x:v>
      </x:c>
      <x:c r="AO42" s="18" t="n">
        <x:f>AO41-MAX(0,AO41)+(H42-I42-G42*'Ipotesi BP'!E19-L42-M42-P42-Q42+'Ipotesi BP'!E27/12-X42)*'Ipotesi BP'!E34</x:f>
        <x:v>-4866.3482797503575</x:v>
      </x:c>
    </x:row>
    <x:row r="43" ht="25" customHeight="1">
      <x:c r="A43" s="17" t="n">
        <x:f>38</x:f>
        <x:v>38</x:v>
      </x:c>
      <x:c r="B43" s="26" t="n">
        <x:f>2030</x:f>
        <x:v>2030</x:v>
      </x:c>
      <x:c r="C43" s="27" t="n">
        <x:f>F42</x:f>
        <x:v>389.87835585825434</x:v>
      </x:c>
      <x:c r="D43" s="28" t="n">
        <x:f>('Ipotesi BP'!E9/'Ipotesi BP'!E10*'Ipotesi BP'!E11+'Ipotesi BP'!E13+'Ipotesi BP'!E15+'Ipotesi BP'!E17)/12*'Ipotesi BP'!E45</x:f>
        <x:v>33.333333333333336</x:v>
      </x:c>
      <x:c r="E43" s="28" t="n">
        <x:f>C43*'Ipotesi BP'!E8</x:f>
        <x:v>7.797567117165087</x:v>
      </x:c>
      <x:c r="F43" s="27" t="n">
        <x:f>C43+D43-E43</x:f>
        <x:v>415.41412207442255</x:v>
      </x:c>
      <x:c r="G43" s="27" t="n">
        <x:f>(C43+F43)/2</x:f>
        <x:v>402.64623896633844</x:v>
      </x:c>
      <x:c r="H43" s="18" t="n">
        <x:f>G43*'Ipotesi BP'!E6</x:f>
        <x:v>31809.052878340735</x:v>
      </x:c>
      <x:c r="I43" s="18" t="n">
        <x:f>G43*'Ipotesi BP'!E7</x:f>
        <x:v>22000.59049712073</x:v>
      </x:c>
      <x:c r="J43" s="18" t="n">
        <x:f>G43*('Ipotesi BP'!E6*(1+'Ipotesi BP'!E34)*'Ipotesi BP'!E35+'Ipotesi BP'!E36)</x:f>
        <x:v>682.7672274152201</x:v>
      </x:c>
      <x:c r="K43" s="18" t="n">
        <x:f>G43*'Ipotesi BP'!E19+H43*'Ipotesi BP'!E20</x:f>
        <x:v>1123.3830067160843</x:v>
      </x:c>
      <x:c r="L43" s="18" t="n">
        <x:f>D43*'Ipotesi BP'!E18</x:f>
        <x:v>800</x:v>
      </x:c>
      <x:c r="M43" s="18" t="n">
        <x:f>('Ipotesi BP'!E9+'Ipotesi BP'!E12+'Ipotesi BP'!E14+'Ipotesi BP'!E16)/12</x:f>
        <x:v>4350</x:v>
      </x:c>
      <x:c r="N43" s="18" t="n">
        <x:f>'Ipotesi BP'!E21/12</x:f>
        <x:v>3500</x:v>
      </x:c>
      <x:c r="O43" s="18" t="n">
        <x:f>'Ipotesi BP'!E22*'Ipotesi BP'!E23/12</x:f>
        <x:v>4917.25</x:v>
      </x:c>
      <x:c r="P43" s="18" t="n">
        <x:f>'Ipotesi BP'!E24/12</x:f>
        <x:v>1250</x:v>
      </x:c>
      <x:c r="Q43" s="18" t="n">
        <x:f>SUM('Ipotesi BP'!E25:E29)/12</x:f>
        <x:v>1850</x:v>
      </x:c>
      <x:c r="R43" s="17" t="n">
        <x:f>0</x:f>
        <x:v>0</x:v>
      </x:c>
      <x:c r="S43" s="17" t="n">
        <x:f>H43-SUM(I43:R43)</x:f>
        <x:v>-8664.937852911302</x:v>
      </x:c>
      <x:c r="T43" s="17" t="n">
        <x:f>SUM(X8:X43)/36</x:f>
        <x:v>55.55555555555556</x:v>
      </x:c>
      <x:c r="U43" s="17" t="n">
        <x:f>S43-T43</x:f>
        <x:v>-8720.493408466857</x:v>
      </x:c>
      <x:c r="V43" s="18" t="n">
        <x:f>MAX(0,U43)*'Ipotesi BP'!E38+MAX(0,U43+N43)*'Ipotesi BP'!E39</x:f>
        <x:v>0</x:v>
      </x:c>
      <x:c r="W43" s="17" t="n">
        <x:f>U43-V43</x:f>
        <x:v>-8720.493408466857</x:v>
      </x:c>
      <x:c r="X43" s="17" t="n">
        <x:f>0</x:f>
        <x:v>0</x:v>
      </x:c>
      <x:c r="Y43" s="18" t="n">
        <x:f>H43*(1+'Ipotesi BP'!E34)*'Ipotesi BP'!E37/30</x:f>
        <x:v>2587.136300771713</x:v>
      </x:c>
      <x:c r="Z43" s="17" t="n">
        <x:f>MAX(0,-AO43)</x:f>
        <x:v>4645.650901027146</x:v>
      </x:c>
      <x:c r="AA43" s="17" t="n">
        <x:f>MAX(0,AO43)</x:f>
        <x:v>0</x:v>
      </x:c>
      <x:c r="AB43" s="17" t="n">
        <x:f>Y43+Z43-AA43-Y42-Z42+AA42</x:f>
        <x:v>-54.94732590449348</x:v>
      </x:c>
      <x:c r="AC43" s="17" t="n">
        <x:f>W43+T43-AB43</x:f>
        <x:v>-8609.990527006808</x:v>
      </x:c>
      <x:c r="AD43" s="17" t="n">
        <x:f>0</x:f>
        <x:v>0</x:v>
      </x:c>
      <x:c r="AE43" s="17" t="n">
        <x:f>0</x:f>
        <x:v>0</x:v>
      </x:c>
      <x:c r="AF43" s="17" t="n">
        <x:f>AF42+AC43-X43+AD43+AE43</x:f>
        <x:v>68965.082847265</x:v>
      </x:c>
      <x:c r="AG43" s="17" t="n">
        <x:f>AG42+AC43-X43+AD43</x:f>
        <x:v>-181034.91715273494</x:v>
      </x:c>
      <x:c r="AH43" s="17" t="n">
        <x:f>SUM($X$6:X43)-SUM($T$6:T43)</x:f>
        <x:v>1388.8888888888896</x:v>
      </x:c>
      <x:c r="AI43" s="17" t="n">
        <x:f>SUM($W$6:W43)</x:f>
        <x:v>-182413.24106204725</x:v>
      </x:c>
      <x:c r="AJ43" s="17" t="n">
        <x:f>SUM($AD$6:AE43)</x:f>
        <x:v>260000</x:v>
      </x:c>
      <x:c r="AK43" s="17" t="n">
        <x:f>AF43+Y43+Z43+AH43-AA43-AI43-AJ43</x:f>
        <x:v>0</x:v>
      </x:c>
      <x:c r="AL43" s="18" t="n">
        <x:f>G43*'Ipotesi BP'!E40/60+D43*'Ipotesi BP'!E41/60+'Ipotesi BP'!E44</x:f>
        <x:v>103.13060963995623</x:v>
      </x:c>
      <x:c r="AM43" s="18" t="n">
        <x:f>'Ipotesi BP'!E42+'Ipotesi BP'!E22*'Ipotesi BP'!E43</x:f>
        <x:v>220</x:v>
      </x:c>
      <x:c r="AN43" s="17" t="n">
        <x:f>MAX(0,AL43-AM43)</x:f>
        <x:v>0</x:v>
      </x:c>
      <x:c r="AO43" s="18" t="n">
        <x:f>AO42-MAX(0,AO42)+(H43-I43-G43*'Ipotesi BP'!E19-L43-M43-P43-Q43+'Ipotesi BP'!E27/12-X43)*'Ipotesi BP'!E34</x:f>
        <x:v>-4645.650901027146</x:v>
      </x:c>
    </x:row>
    <x:row r="44" ht="25" customHeight="1">
      <x:c r="A44" s="17" t="n">
        <x:f>39</x:f>
        <x:v>39</x:v>
      </x:c>
      <x:c r="B44" s="26" t="n">
        <x:f>2030</x:f>
        <x:v>2030</x:v>
      </x:c>
      <x:c r="C44" s="27" t="n">
        <x:f>F43</x:f>
        <x:v>415.41412207442255</x:v>
      </x:c>
      <x:c r="D44" s="28" t="n">
        <x:f>('Ipotesi BP'!E9/'Ipotesi BP'!E10*'Ipotesi BP'!E11+'Ipotesi BP'!E13+'Ipotesi BP'!E15+'Ipotesi BP'!E17)/12*'Ipotesi BP'!E45</x:f>
        <x:v>33.333333333333336</x:v>
      </x:c>
      <x:c r="E44" s="28" t="n">
        <x:f>C44*'Ipotesi BP'!E8</x:f>
        <x:v>8.308282441488451</x:v>
      </x:c>
      <x:c r="F44" s="27" t="n">
        <x:f>C44+D44-E44</x:f>
        <x:v>440.4391729662674</x:v>
      </x:c>
      <x:c r="G44" s="27" t="n">
        <x:f>(C44+F44)/2</x:f>
        <x:v>427.926647520345</x:v>
      </x:c>
      <x:c r="H44" s="18" t="n">
        <x:f>G44*'Ipotesi BP'!E6</x:f>
        <x:v>33806.20515410726</x:v>
      </x:c>
      <x:c r="I44" s="18" t="n">
        <x:f>G44*'Ipotesi BP'!E7</x:f>
        <x:v>23381.912020511652</x:v>
      </x:c>
      <x:c r="J44" s="18" t="n">
        <x:f>G44*('Ipotesi BP'!E6*(1+'Ipotesi BP'!E34)*'Ipotesi BP'!E35+'Ipotesi BP'!E36)</x:f>
        <x:v>725.635216200249</x:v>
      </x:c>
      <x:c r="K44" s="18" t="n">
        <x:f>G44*'Ipotesi BP'!E19+H44*'Ipotesi BP'!E20</x:f>
        <x:v>1193.9153465817626</x:v>
      </x:c>
      <x:c r="L44" s="18" t="n">
        <x:f>D44*'Ipotesi BP'!E18</x:f>
        <x:v>800</x:v>
      </x:c>
      <x:c r="M44" s="18" t="n">
        <x:f>('Ipotesi BP'!E9+'Ipotesi BP'!E12+'Ipotesi BP'!E14+'Ipotesi BP'!E16)/12</x:f>
        <x:v>4350</x:v>
      </x:c>
      <x:c r="N44" s="18" t="n">
        <x:f>'Ipotesi BP'!E21/12</x:f>
        <x:v>3500</x:v>
      </x:c>
      <x:c r="O44" s="18" t="n">
        <x:f>'Ipotesi BP'!E22*'Ipotesi BP'!E23/12</x:f>
        <x:v>4917.25</x:v>
      </x:c>
      <x:c r="P44" s="18" t="n">
        <x:f>'Ipotesi BP'!E24/12</x:f>
        <x:v>1250</x:v>
      </x:c>
      <x:c r="Q44" s="18" t="n">
        <x:f>SUM('Ipotesi BP'!E25:E29)/12</x:f>
        <x:v>1850</x:v>
      </x:c>
      <x:c r="R44" s="17" t="n">
        <x:f>0</x:f>
        <x:v>0</x:v>
      </x:c>
      <x:c r="S44" s="17" t="n">
        <x:f>H44-SUM(I44:R44)</x:f>
        <x:v>-8162.5074291864</x:v>
      </x:c>
      <x:c r="T44" s="17" t="n">
        <x:f>SUM(X9:X44)/36</x:f>
        <x:v>55.55555555555556</x:v>
      </x:c>
      <x:c r="U44" s="17" t="n">
        <x:f>S44-T44</x:f>
        <x:v>-8218.062984741955</x:v>
      </x:c>
      <x:c r="V44" s="18" t="n">
        <x:f>MAX(0,U44)*'Ipotesi BP'!E38+MAX(0,U44+N44)*'Ipotesi BP'!E39</x:f>
        <x:v>0</x:v>
      </x:c>
      <x:c r="W44" s="17" t="n">
        <x:f>U44-V44</x:f>
        <x:v>-8218.062984741955</x:v>
      </x:c>
      <x:c r="X44" s="17" t="n">
        <x:f>0</x:f>
        <x:v>0</x:v>
      </x:c>
      <x:c r="Y44" s="18" t="n">
        <x:f>H44*(1+'Ipotesi BP'!E34)*'Ipotesi BP'!E37/30</x:f>
        <x:v>2749.5713525340566</x:v>
      </x:c>
      <x:c r="Z44" s="17" t="n">
        <x:f>MAX(0,-AO44)</x:f>
        <x:v>4300.594136545064</x:v>
      </x:c>
      <x:c r="AA44" s="17" t="n">
        <x:f>MAX(0,AO44)</x:f>
        <x:v>0</x:v>
      </x:c>
      <x:c r="AB44" s="17" t="n">
        <x:f>Y44+Z44-AA44-Y43-Z43+AA43</x:f>
        <x:v>-182.62171271973784</x:v>
      </x:c>
      <x:c r="AC44" s="17" t="n">
        <x:f>W44+T44-AB44</x:f>
        <x:v>-7979.8857164666615</x:v>
      </x:c>
      <x:c r="AD44" s="17" t="n">
        <x:f>0</x:f>
        <x:v>0</x:v>
      </x:c>
      <x:c r="AE44" s="17" t="n">
        <x:f>0</x:f>
        <x:v>0</x:v>
      </x:c>
      <x:c r="AF44" s="17" t="n">
        <x:f>AF43+AC44-X44+AD44+AE44</x:f>
        <x:v>60985.19713079834</x:v>
      </x:c>
      <x:c r="AG44" s="17" t="n">
        <x:f>AG43+AC44-X44+AD44</x:f>
        <x:v>-189014.8028692016</x:v>
      </x:c>
      <x:c r="AH44" s="17" t="n">
        <x:f>SUM($X$6:X44)-SUM($T$6:T44)</x:f>
        <x:v>1333.333333333334</x:v>
      </x:c>
      <x:c r="AI44" s="17" t="n">
        <x:f>SUM($W$6:W44)</x:f>
        <x:v>-190631.3040467892</x:v>
      </x:c>
      <x:c r="AJ44" s="17" t="n">
        <x:f>SUM($AD$6:AE44)</x:f>
        <x:v>260000</x:v>
      </x:c>
      <x:c r="AK44" s="17" t="n">
        <x:f>AF44+Y44+Z44+AH44-AA44-AI44-AJ44</x:f>
        <x:v>0</x:v>
      </x:c>
      <x:c r="AL44" s="18" t="n">
        <x:f>G44*'Ipotesi BP'!E40/60+D44*'Ipotesi BP'!E41/60+'Ipotesi BP'!E44</x:f>
        <x:v>106.50133078049045</x:v>
      </x:c>
      <x:c r="AM44" s="18" t="n">
        <x:f>'Ipotesi BP'!E42+'Ipotesi BP'!E22*'Ipotesi BP'!E43</x:f>
        <x:v>220</x:v>
      </x:c>
      <x:c r="AN44" s="17" t="n">
        <x:f>MAX(0,AL44-AM44)</x:f>
        <x:v>0</x:v>
      </x:c>
      <x:c r="AO44" s="18" t="n">
        <x:f>AO43-MAX(0,AO43)+(H44-I44-G44*'Ipotesi BP'!E19-L44-M44-P44-Q44+'Ipotesi BP'!E27/12-X44)*'Ipotesi BP'!E34</x:f>
        <x:v>-4300.594136545064</x:v>
      </x:c>
    </x:row>
    <x:row r="45" ht="25" customHeight="1">
      <x:c r="A45" s="17" t="n">
        <x:f>40</x:f>
        <x:v>40</x:v>
      </x:c>
      <x:c r="B45" s="26" t="n">
        <x:f>2030</x:f>
        <x:v>2030</x:v>
      </x:c>
      <x:c r="C45" s="27" t="n">
        <x:f>F44</x:f>
        <x:v>440.4391729662674</x:v>
      </x:c>
      <x:c r="D45" s="28" t="n">
        <x:f>('Ipotesi BP'!E9/'Ipotesi BP'!E10*'Ipotesi BP'!E11+'Ipotesi BP'!E13+'Ipotesi BP'!E15+'Ipotesi BP'!E17)/12*'Ipotesi BP'!E45</x:f>
        <x:v>33.333333333333336</x:v>
      </x:c>
      <x:c r="E45" s="28" t="n">
        <x:f>C45*'Ipotesi BP'!E8</x:f>
        <x:v>8.808783459325348</x:v>
      </x:c>
      <x:c r="F45" s="27" t="n">
        <x:f>C45+D45-E45</x:f>
        <x:v>464.96372284027535</x:v>
      </x:c>
      <x:c r="G45" s="27" t="n">
        <x:f>(C45+F45)/2</x:f>
        <x:v>452.7014479032714</x:v>
      </x:c>
      <x:c r="H45" s="18" t="n">
        <x:f>G45*'Ipotesi BP'!E6</x:f>
        <x:v>35763.41438435844</x:v>
      </x:c>
      <x:c r="I45" s="18" t="n">
        <x:f>G45*'Ipotesi BP'!E7</x:f>
        <x:v>24735.60711343475</x:v>
      </x:c>
      <x:c r="J45" s="18" t="n">
        <x:f>G45*('Ipotesi BP'!E6*(1+'Ipotesi BP'!E34)*'Ipotesi BP'!E35+'Ipotesi BP'!E36)</x:f>
        <x:v>767.6458452095773</x:v>
      </x:c>
      <x:c r="K45" s="18" t="n">
        <x:f>G45*'Ipotesi BP'!E19+H45*'Ipotesi BP'!E20</x:f>
        <x:v>1263.037039650127</x:v>
      </x:c>
      <x:c r="L45" s="18" t="n">
        <x:f>D45*'Ipotesi BP'!E18</x:f>
        <x:v>800</x:v>
      </x:c>
      <x:c r="M45" s="18" t="n">
        <x:f>('Ipotesi BP'!E9+'Ipotesi BP'!E12+'Ipotesi BP'!E14+'Ipotesi BP'!E16)/12</x:f>
        <x:v>4350</x:v>
      </x:c>
      <x:c r="N45" s="18" t="n">
        <x:f>'Ipotesi BP'!E21/12</x:f>
        <x:v>3500</x:v>
      </x:c>
      <x:c r="O45" s="18" t="n">
        <x:f>'Ipotesi BP'!E22*'Ipotesi BP'!E23/12</x:f>
        <x:v>4917.25</x:v>
      </x:c>
      <x:c r="P45" s="18" t="n">
        <x:f>'Ipotesi BP'!E24/12</x:f>
        <x:v>1250</x:v>
      </x:c>
      <x:c r="Q45" s="18" t="n">
        <x:f>SUM('Ipotesi BP'!E25:E29)/12</x:f>
        <x:v>1850</x:v>
      </x:c>
      <x:c r="R45" s="17" t="n">
        <x:f>0</x:f>
        <x:v>0</x:v>
      </x:c>
      <x:c r="S45" s="17" t="n">
        <x:f>H45-SUM(I45:R45)</x:f>
        <x:v>-7670.125613936012</x:v>
      </x:c>
      <x:c r="T45" s="17" t="n">
        <x:f>SUM(X10:X45)/36</x:f>
        <x:v>55.55555555555556</x:v>
      </x:c>
      <x:c r="U45" s="17" t="n">
        <x:f>S45-T45</x:f>
        <x:v>-7725.681169491568</x:v>
      </x:c>
      <x:c r="V45" s="18" t="n">
        <x:f>MAX(0,U45)*'Ipotesi BP'!E38+MAX(0,U45+N45)*'Ipotesi BP'!E39</x:f>
        <x:v>0</x:v>
      </x:c>
      <x:c r="W45" s="17" t="n">
        <x:f>U45-V45</x:f>
        <x:v>-7725.681169491568</x:v>
      </x:c>
      <x:c r="X45" s="17" t="n">
        <x:f>0</x:f>
        <x:v>0</x:v>
      </x:c>
      <x:c r="Y45" s="18" t="n">
        <x:f>H45*(1+'Ipotesi BP'!E34)*'Ipotesi BP'!E37/30</x:f>
        <x:v>2908.757703261153</x:v>
      </x:c>
      <x:c r="Z45" s="17" t="n">
        <x:f>MAX(0,-AO45)</x:f>
        <x:v>3833.6651740192924</x:v>
      </x:c>
      <x:c r="AA45" s="17" t="n">
        <x:f>MAX(0,AO45)</x:f>
        <x:v>0</x:v>
      </x:c>
      <x:c r="AB45" s="17" t="n">
        <x:f>Y45+Z45-AA45-Y44-Z44+AA44</x:f>
        <x:v>-307.7426117986756</x:v>
      </x:c>
      <x:c r="AC45" s="17" t="n">
        <x:f>W45+T45-AB45</x:f>
        <x:v>-7362.383002137336</x:v>
      </x:c>
      <x:c r="AD45" s="17" t="n">
        <x:f>0</x:f>
        <x:v>0</x:v>
      </x:c>
      <x:c r="AE45" s="17" t="n">
        <x:f>0</x:f>
        <x:v>0</x:v>
      </x:c>
      <x:c r="AF45" s="17" t="n">
        <x:f>AF44+AC45-X45+AD45+AE45</x:f>
        <x:v>53622.814128661004</x:v>
      </x:c>
      <x:c r="AG45" s="17" t="n">
        <x:f>AG44+AC45-X45+AD45</x:f>
        <x:v>-196377.18587133894</x:v>
      </x:c>
      <x:c r="AH45" s="17" t="n">
        <x:f>SUM($X$6:X45)-SUM($T$6:T45)</x:f>
        <x:v>1277.7777777777783</x:v>
      </x:c>
      <x:c r="AI45" s="17" t="n">
        <x:f>SUM($W$6:W45)</x:f>
        <x:v>-198356.9852162808</x:v>
      </x:c>
      <x:c r="AJ45" s="17" t="n">
        <x:f>SUM($AD$6:AE45)</x:f>
        <x:v>260000</x:v>
      </x:c>
      <x:c r="AK45" s="17" t="n">
        <x:f>AF45+Y45+Z45+AH45-AA45-AI45-AJ45</x:f>
        <x:v>2.9103830456733704e-11</x:v>
      </x:c>
      <x:c r="AL45" s="18" t="n">
        <x:f>G45*'Ipotesi BP'!E40/60+D45*'Ipotesi BP'!E41/60+'Ipotesi BP'!E44</x:f>
        <x:v>109.80463749821396</x:v>
      </x:c>
      <x:c r="AM45" s="18" t="n">
        <x:f>'Ipotesi BP'!E42+'Ipotesi BP'!E22*'Ipotesi BP'!E43</x:f>
        <x:v>220</x:v>
      </x:c>
      <x:c r="AN45" s="17" t="n">
        <x:f>MAX(0,AL45-AM45)</x:f>
        <x:v>0</x:v>
      </x:c>
      <x:c r="AO45" s="18" t="n">
        <x:f>AO44-MAX(0,AO44)+(H45-I45-G45*'Ipotesi BP'!E19-L45-M45-P45-Q45+'Ipotesi BP'!E27/12-X45)*'Ipotesi BP'!E34</x:f>
        <x:v>-3833.6651740192924</x:v>
      </x:c>
    </x:row>
    <x:row r="46" ht="25" customHeight="1">
      <x:c r="A46" s="17" t="n">
        <x:f>41</x:f>
        <x:v>41</x:v>
      </x:c>
      <x:c r="B46" s="26" t="n">
        <x:f>2030</x:f>
        <x:v>2030</x:v>
      </x:c>
      <x:c r="C46" s="27" t="n">
        <x:f>F45</x:f>
        <x:v>464.96372284027535</x:v>
      </x:c>
      <x:c r="D46" s="28" t="n">
        <x:f>('Ipotesi BP'!E9/'Ipotesi BP'!E10*'Ipotesi BP'!E11+'Ipotesi BP'!E13+'Ipotesi BP'!E15+'Ipotesi BP'!E17)/12*'Ipotesi BP'!E45</x:f>
        <x:v>33.333333333333336</x:v>
      </x:c>
      <x:c r="E46" s="28" t="n">
        <x:f>C46*'Ipotesi BP'!E8</x:f>
        <x:v>9.299274456805508</x:v>
      </x:c>
      <x:c r="F46" s="27" t="n">
        <x:f>C46+D46-E46</x:f>
        <x:v>488.99778171680316</x:v>
      </x:c>
      <x:c r="G46" s="27" t="n">
        <x:f>(C46+F46)/2</x:f>
        <x:v>476.9807522785393</x:v>
      </x:c>
      <x:c r="H46" s="18" t="n">
        <x:f>G46*'Ipotesi BP'!E6</x:f>
        <x:v>37681.479430004605</x:v>
      </x:c>
      <x:c r="I46" s="18" t="n">
        <x:f>G46*'Ipotesi BP'!E7</x:f>
        <x:v>26062.228304499386</x:v>
      </x:c>
      <x:c r="J46" s="18" t="n">
        <x:f>G46*('Ipotesi BP'!E6*(1+'Ipotesi BP'!E34)*'Ipotesi BP'!E35+'Ipotesi BP'!E36)</x:f>
        <x:v>808.8162616387191</x:v>
      </x:c>
      <x:c r="K46" s="18" t="n">
        <x:f>G46*'Ipotesi BP'!E19+H46*'Ipotesi BP'!E20</x:f>
        <x:v>1330.7762988571246</x:v>
      </x:c>
      <x:c r="L46" s="18" t="n">
        <x:f>D46*'Ipotesi BP'!E18</x:f>
        <x:v>800</x:v>
      </x:c>
      <x:c r="M46" s="18" t="n">
        <x:f>('Ipotesi BP'!E9+'Ipotesi BP'!E12+'Ipotesi BP'!E14+'Ipotesi BP'!E16)/12</x:f>
        <x:v>4350</x:v>
      </x:c>
      <x:c r="N46" s="18" t="n">
        <x:f>'Ipotesi BP'!E21/12</x:f>
        <x:v>3500</x:v>
      </x:c>
      <x:c r="O46" s="18" t="n">
        <x:f>'Ipotesi BP'!E22*'Ipotesi BP'!E23/12</x:f>
        <x:v>4917.25</x:v>
      </x:c>
      <x:c r="P46" s="18" t="n">
        <x:f>'Ipotesi BP'!E24/12</x:f>
        <x:v>1250</x:v>
      </x:c>
      <x:c r="Q46" s="18" t="n">
        <x:f>SUM('Ipotesi BP'!E25:E29)/12</x:f>
        <x:v>1850</x:v>
      </x:c>
      <x:c r="R46" s="17" t="n">
        <x:f>0</x:f>
        <x:v>0</x:v>
      </x:c>
      <x:c r="S46" s="17" t="n">
        <x:f>H46-SUM(I46:R46)</x:f>
        <x:v>-7187.591434990623</x:v>
      </x:c>
      <x:c r="T46" s="17" t="n">
        <x:f>SUM(X11:X46)/36</x:f>
        <x:v>55.55555555555556</x:v>
      </x:c>
      <x:c r="U46" s="17" t="n">
        <x:f>S46-T46</x:f>
        <x:v>-7243.146990546179</x:v>
      </x:c>
      <x:c r="V46" s="18" t="n">
        <x:f>MAX(0,U46)*'Ipotesi BP'!E38+MAX(0,U46+N46)*'Ipotesi BP'!E39</x:f>
        <x:v>0</x:v>
      </x:c>
      <x:c r="W46" s="17" t="n">
        <x:f>U46-V46</x:f>
        <x:v>-7243.146990546179</x:v>
      </x:c>
      <x:c r="X46" s="17" t="n">
        <x:f>0</x:f>
        <x:v>0</x:v>
      </x:c>
      <x:c r="Y46" s="18" t="n">
        <x:f>H46*(1+'Ipotesi BP'!E34)*'Ipotesi BP'!E37/30</x:f>
        <x:v>3064.760326973708</x:v>
      </x:c>
      <x:c r="Z46" s="17" t="n">
        <x:f>MAX(0,-AO46)</x:f>
        <x:v>3247.3014574107015</x:v>
      </x:c>
      <x:c r="AA46" s="17" t="n">
        <x:f>MAX(0,AO46)</x:f>
        <x:v>0</x:v>
      </x:c>
      <x:c r="AB46" s="17" t="n">
        <x:f>Y46+Z46-AA46-Y45-Z45+AA45</x:f>
        <x:v>-430.3610928960361</x:v>
      </x:c>
      <x:c r="AC46" s="17" t="n">
        <x:f>W46+T46-AB46</x:f>
        <x:v>-6757.230342094587</x:v>
      </x:c>
      <x:c r="AD46" s="17" t="n">
        <x:f>0</x:f>
        <x:v>0</x:v>
      </x:c>
      <x:c r="AE46" s="17" t="n">
        <x:f>0</x:f>
        <x:v>0</x:v>
      </x:c>
      <x:c r="AF46" s="17" t="n">
        <x:f>AF45+AC46-X46+AD46+AE46</x:f>
        <x:v>46865.583786566414</x:v>
      </x:c>
      <x:c r="AG46" s="17" t="n">
        <x:f>AG45+AC46-X46+AD46</x:f>
        <x:v>-203134.41621343352</x:v>
      </x:c>
      <x:c r="AH46" s="17" t="n">
        <x:f>SUM($X$6:X46)-SUM($T$6:T46)</x:f>
        <x:v>1222.2222222222226</x:v>
      </x:c>
      <x:c r="AI46" s="17" t="n">
        <x:f>SUM($W$6:W46)</x:f>
        <x:v>-205600.13220682697</x:v>
      </x:c>
      <x:c r="AJ46" s="17" t="n">
        <x:f>SUM($AD$6:AE46)</x:f>
        <x:v>260000</x:v>
      </x:c>
      <x:c r="AK46" s="17" t="n">
        <x:f>AF46+Y46+Z46+AH46-AA46-AI46-AJ46</x:f>
        <x:v>0</x:v>
      </x:c>
      <x:c r="AL46" s="18" t="n">
        <x:f>G46*'Ipotesi BP'!E40/60+D46*'Ipotesi BP'!E41/60+'Ipotesi BP'!E44</x:f>
        <x:v>113.04187808158302</x:v>
      </x:c>
      <x:c r="AM46" s="18" t="n">
        <x:f>'Ipotesi BP'!E42+'Ipotesi BP'!E22*'Ipotesi BP'!E43</x:f>
        <x:v>220</x:v>
      </x:c>
      <x:c r="AN46" s="17" t="n">
        <x:f>MAX(0,AL46-AM46)</x:f>
        <x:v>0</x:v>
      </x:c>
      <x:c r="AO46" s="18" t="n">
        <x:f>AO45-MAX(0,AO45)+(H46-I46-G46*'Ipotesi BP'!E19-L46-M46-P46-Q46+'Ipotesi BP'!E27/12-X46)*'Ipotesi BP'!E34</x:f>
        <x:v>-3247.3014574107015</x:v>
      </x:c>
    </x:row>
    <x:row r="47" ht="25" customHeight="1">
      <x:c r="A47" s="17" t="n">
        <x:f>42</x:f>
        <x:v>42</x:v>
      </x:c>
      <x:c r="B47" s="26" t="n">
        <x:f>2030</x:f>
        <x:v>2030</x:v>
      </x:c>
      <x:c r="C47" s="27" t="n">
        <x:f>F46</x:f>
        <x:v>488.99778171680316</x:v>
      </x:c>
      <x:c r="D47" s="28" t="n">
        <x:f>('Ipotesi BP'!E9/'Ipotesi BP'!E10*'Ipotesi BP'!E11+'Ipotesi BP'!E13+'Ipotesi BP'!E15+'Ipotesi BP'!E17)/12*'Ipotesi BP'!E45</x:f>
        <x:v>33.333333333333336</x:v>
      </x:c>
      <x:c r="E47" s="28" t="n">
        <x:f>C47*'Ipotesi BP'!E8</x:f>
        <x:v>9.779955634336064</x:v>
      </x:c>
      <x:c r="F47" s="27" t="n">
        <x:f>C47+D47-E47</x:f>
        <x:v>512.5511594158005</x:v>
      </x:c>
      <x:c r="G47" s="27" t="n">
        <x:f>(C47+F47)/2</x:f>
        <x:v>500.77447056630183</x:v>
      </x:c>
      <x:c r="H47" s="18" t="n">
        <x:f>G47*'Ipotesi BP'!E6</x:f>
        <x:v>39561.183174737846</x:v>
      </x:c>
      <x:c r="I47" s="18" t="n">
        <x:f>G47*'Ipotesi BP'!E7</x:f>
        <x:v>27362.31707174273</x:v>
      </x:c>
      <x:c r="J47" s="18" t="n">
        <x:f>G47*('Ipotesi BP'!E6*(1+'Ipotesi BP'!E34)*'Ipotesi BP'!E35+'Ipotesi BP'!E36)</x:f>
        <x:v>849.163269739278</x:v>
      </x:c>
      <x:c r="K47" s="18" t="n">
        <x:f>G47*'Ipotesi BP'!E19+H47*'Ipotesi BP'!E20</x:f>
        <x:v>1397.1607728799822</x:v>
      </x:c>
      <x:c r="L47" s="18" t="n">
        <x:f>D47*'Ipotesi BP'!E18</x:f>
        <x:v>800</x:v>
      </x:c>
      <x:c r="M47" s="18" t="n">
        <x:f>('Ipotesi BP'!E9+'Ipotesi BP'!E12+'Ipotesi BP'!E14+'Ipotesi BP'!E16)/12</x:f>
        <x:v>4350</x:v>
      </x:c>
      <x:c r="N47" s="18" t="n">
        <x:f>'Ipotesi BP'!E21/12</x:f>
        <x:v>3500</x:v>
      </x:c>
      <x:c r="O47" s="18" t="n">
        <x:f>'Ipotesi BP'!E22*'Ipotesi BP'!E23/12</x:f>
        <x:v>4917.25</x:v>
      </x:c>
      <x:c r="P47" s="18" t="n">
        <x:f>'Ipotesi BP'!E24/12</x:f>
        <x:v>1250</x:v>
      </x:c>
      <x:c r="Q47" s="18" t="n">
        <x:f>SUM('Ipotesi BP'!E25:E29)/12</x:f>
        <x:v>1850</x:v>
      </x:c>
      <x:c r="R47" s="17" t="n">
        <x:f>0</x:f>
        <x:v>0</x:v>
      </x:c>
      <x:c r="S47" s="17" t="n">
        <x:f>H47-SUM(I47:R47)</x:f>
        <x:v>-6714.707939624146</x:v>
      </x:c>
      <x:c r="T47" s="17" t="n">
        <x:f>SUM(X12:X47)/36</x:f>
        <x:v>55.55555555555556</x:v>
      </x:c>
      <x:c r="U47" s="17" t="n">
        <x:f>S47-T47</x:f>
        <x:v>-6770.263495179702</x:v>
      </x:c>
      <x:c r="V47" s="18" t="n">
        <x:f>MAX(0,U47)*'Ipotesi BP'!E38+MAX(0,U47+N47)*'Ipotesi BP'!E39</x:f>
        <x:v>0</x:v>
      </x:c>
      <x:c r="W47" s="17" t="n">
        <x:f>U47-V47</x:f>
        <x:v>-6770.263495179702</x:v>
      </x:c>
      <x:c r="X47" s="17" t="n">
        <x:f>0</x:f>
        <x:v>0</x:v>
      </x:c>
      <x:c r="Y47" s="18" t="n">
        <x:f>H47*(1+'Ipotesi BP'!E34)*'Ipotesi BP'!E37/30</x:f>
        <x:v>3217.6428982120115</x:v>
      </x:c>
      <x:c r="Z47" s="17" t="n">
        <x:f>MAX(0,-AO47)</x:f>
        <x:v>2543.8916818009493</x:v>
      </x:c>
      <x:c r="AA47" s="17" t="n">
        <x:f>MAX(0,AO47)</x:f>
        <x:v>0</x:v>
      </x:c>
      <x:c r="AB47" s="17" t="n">
        <x:f>Y47+Z47-AA47-Y46-Z46+AA46</x:f>
        <x:v>-550.5272043714485</x:v>
      </x:c>
      <x:c r="AC47" s="17" t="n">
        <x:f>W47+T47-AB47</x:f>
        <x:v>-6164.180735252698</x:v>
      </x:c>
      <x:c r="AD47" s="17" t="n">
        <x:f>0</x:f>
        <x:v>0</x:v>
      </x:c>
      <x:c r="AE47" s="17" t="n">
        <x:f>0</x:f>
        <x:v>0</x:v>
      </x:c>
      <x:c r="AF47" s="17" t="n">
        <x:f>AF46+AC47-X47+AD47+AE47</x:f>
        <x:v>40701.40305131372</x:v>
      </x:c>
      <x:c r="AG47" s="17" t="n">
        <x:f>AG46+AC47-X47+AD47</x:f>
        <x:v>-209298.59694868623</x:v>
      </x:c>
      <x:c r="AH47" s="17" t="n">
        <x:f>SUM($X$6:X47)-SUM($T$6:T47)</x:f>
        <x:v>1166.666666666667</x:v>
      </x:c>
      <x:c r="AI47" s="17" t="n">
        <x:f>SUM($W$6:W47)</x:f>
        <x:v>-212370.39570200667</x:v>
      </x:c>
      <x:c r="AJ47" s="17" t="n">
        <x:f>SUM($AD$6:AE47)</x:f>
        <x:v>260000</x:v>
      </x:c>
      <x:c r="AK47" s="17" t="n">
        <x:f>AF47+Y47+Z47+AH47-AA47-AI47-AJ47</x:f>
        <x:v>2.9103830456733704e-11</x:v>
      </x:c>
      <x:c r="AL47" s="18" t="n">
        <x:f>G47*'Ipotesi BP'!E40/60+D47*'Ipotesi BP'!E41/60+'Ipotesi BP'!E44</x:f>
        <x:v>116.21437385328468</x:v>
      </x:c>
      <x:c r="AM47" s="18" t="n">
        <x:f>'Ipotesi BP'!E42+'Ipotesi BP'!E22*'Ipotesi BP'!E43</x:f>
        <x:v>220</x:v>
      </x:c>
      <x:c r="AN47" s="17" t="n">
        <x:f>MAX(0,AL47-AM47)</x:f>
        <x:v>0</x:v>
      </x:c>
      <x:c r="AO47" s="18" t="n">
        <x:f>AO46-MAX(0,AO46)+(H47-I47-G47*'Ipotesi BP'!E19-L47-M47-P47-Q47+'Ipotesi BP'!E27/12-X47)*'Ipotesi BP'!E34</x:f>
        <x:v>-2543.8916818009493</x:v>
      </x:c>
    </x:row>
    <x:row r="48" ht="25" customHeight="1">
      <x:c r="A48" s="17" t="n">
        <x:f>43</x:f>
        <x:v>43</x:v>
      </x:c>
      <x:c r="B48" s="26" t="n">
        <x:f>2030</x:f>
        <x:v>2030</x:v>
      </x:c>
      <x:c r="C48" s="27" t="n">
        <x:f>F47</x:f>
        <x:v>512.5511594158005</x:v>
      </x:c>
      <x:c r="D48" s="28" t="n">
        <x:f>('Ipotesi BP'!E9/'Ipotesi BP'!E10*'Ipotesi BP'!E11+'Ipotesi BP'!E13+'Ipotesi BP'!E15+'Ipotesi BP'!E17)/12*'Ipotesi BP'!E45</x:f>
        <x:v>33.333333333333336</x:v>
      </x:c>
      <x:c r="E48" s="28" t="n">
        <x:f>C48*'Ipotesi BP'!E8</x:f>
        <x:v>10.25102318831601</x:v>
      </x:c>
      <x:c r="F48" s="27" t="n">
        <x:f>C48+D48-E48</x:f>
        <x:v>535.6334695608178</x:v>
      </x:c>
      <x:c r="G48" s="27" t="n">
        <x:f>(C48+F48)/2</x:f>
        <x:v>524.0923144883092</x:v>
      </x:c>
      <x:c r="H48" s="18" t="n">
        <x:f>G48*'Ipotesi BP'!E6</x:f>
        <x:v>41403.29284457643</x:v>
      </x:c>
      <x:c r="I48" s="18" t="n">
        <x:f>G48*'Ipotesi BP'!E7</x:f>
        <x:v>28636.404063641214</x:v>
      </x:c>
      <x:c r="J48" s="18" t="n">
        <x:f>G48*('Ipotesi BP'!E6*(1+'Ipotesi BP'!E34)*'Ipotesi BP'!E35+'Ipotesi BP'!E36)</x:f>
        <x:v>888.7033376778259</x:v>
      </x:c>
      <x:c r="K48" s="18" t="n">
        <x:f>G48*'Ipotesi BP'!E19+H48*'Ipotesi BP'!E20</x:f>
        <x:v>1462.2175574223827</x:v>
      </x:c>
      <x:c r="L48" s="18" t="n">
        <x:f>D48*'Ipotesi BP'!E18</x:f>
        <x:v>800</x:v>
      </x:c>
      <x:c r="M48" s="18" t="n">
        <x:f>('Ipotesi BP'!E9+'Ipotesi BP'!E12+'Ipotesi BP'!E14+'Ipotesi BP'!E16)/12</x:f>
        <x:v>4350</x:v>
      </x:c>
      <x:c r="N48" s="18" t="n">
        <x:f>'Ipotesi BP'!E21/12</x:f>
        <x:v>3500</x:v>
      </x:c>
      <x:c r="O48" s="18" t="n">
        <x:f>'Ipotesi BP'!E22*'Ipotesi BP'!E23/12</x:f>
        <x:v>4917.25</x:v>
      </x:c>
      <x:c r="P48" s="18" t="n">
        <x:f>'Ipotesi BP'!E24/12</x:f>
        <x:v>1250</x:v>
      </x:c>
      <x:c r="Q48" s="18" t="n">
        <x:f>SUM('Ipotesi BP'!E25:E29)/12</x:f>
        <x:v>1850</x:v>
      </x:c>
      <x:c r="R48" s="17" t="n">
        <x:f>0</x:f>
        <x:v>0</x:v>
      </x:c>
      <x:c r="S48" s="17" t="n">
        <x:f>H48-SUM(I48:R48)</x:f>
        <x:v>-6251.282114164998</x:v>
      </x:c>
      <x:c r="T48" s="17" t="n">
        <x:f>SUM(X13:X48)/36</x:f>
        <x:v>55.55555555555556</x:v>
      </x:c>
      <x:c r="U48" s="17" t="n">
        <x:f>S48-T48</x:f>
        <x:v>-6306.837669720554</x:v>
      </x:c>
      <x:c r="V48" s="18" t="n">
        <x:f>MAX(0,U48)*'Ipotesi BP'!E38+MAX(0,U48+N48)*'Ipotesi BP'!E39</x:f>
        <x:v>0</x:v>
      </x:c>
      <x:c r="W48" s="17" t="n">
        <x:f>U48-V48</x:f>
        <x:v>-6306.837669720554</x:v>
      </x:c>
      <x:c r="X48" s="17" t="n">
        <x:f>0</x:f>
        <x:v>0</x:v>
      </x:c>
      <x:c r="Y48" s="18" t="n">
        <x:f>H48*(1+'Ipotesi BP'!E34)*'Ipotesi BP'!E37/30</x:f>
        <x:v>3367.467818025549</x:v>
      </x:c>
      <x:c r="Z48" s="17" t="n">
        <x:f>MAX(0,-AO48)</x:f>
        <x:v>1725.7767683700586</x:v>
      </x:c>
      <x:c r="AA48" s="17" t="n">
        <x:f>MAX(0,AO48)</x:f>
        <x:v>0</x:v>
      </x:c>
      <x:c r="AB48" s="17" t="n">
        <x:f>Y48+Z48-AA48-Y47-Z47+AA47</x:f>
        <x:v>-668.2899936173535</x:v>
      </x:c>
      <x:c r="AC48" s="17" t="n">
        <x:f>W48+T48-AB48</x:f>
        <x:v>-5582.992120547645</x:v>
      </x:c>
      <x:c r="AD48" s="17" t="n">
        <x:f>0</x:f>
        <x:v>0</x:v>
      </x:c>
      <x:c r="AE48" s="17" t="n">
        <x:f>0</x:f>
        <x:v>0</x:v>
      </x:c>
      <x:c r="AF48" s="17" t="n">
        <x:f>AF47+AC48-X48+AD48+AE48</x:f>
        <x:v>35118.41093076608</x:v>
      </x:c>
      <x:c r="AG48" s="17" t="n">
        <x:f>AG47+AC48-X48+AD48</x:f>
        <x:v>-214881.5890692339</x:v>
      </x:c>
      <x:c r="AH48" s="17" t="n">
        <x:f>SUM($X$6:X48)-SUM($T$6:T48)</x:f>
        <x:v>1111.1111111111113</x:v>
      </x:c>
      <x:c r="AI48" s="17" t="n">
        <x:f>SUM($W$6:W48)</x:f>
        <x:v>-218677.23337172723</x:v>
      </x:c>
      <x:c r="AJ48" s="17" t="n">
        <x:f>SUM($AD$6:AE48)</x:f>
        <x:v>260000</x:v>
      </x:c>
      <x:c r="AK48" s="17" t="n">
        <x:f>AF48+Y48+Z48+AH48-AA48-AI48-AJ48</x:f>
        <x:v>2.9103830456733704e-11</x:v>
      </x:c>
      <x:c r="AL48" s="18" t="n">
        <x:f>G48*'Ipotesi BP'!E40/60+D48*'Ipotesi BP'!E41/60+'Ipotesi BP'!E44</x:f>
        <x:v>119.32341970955233</x:v>
      </x:c>
      <x:c r="AM48" s="18" t="n">
        <x:f>'Ipotesi BP'!E42+'Ipotesi BP'!E22*'Ipotesi BP'!E43</x:f>
        <x:v>220</x:v>
      </x:c>
      <x:c r="AN48" s="17" t="n">
        <x:f>MAX(0,AL48-AM48)</x:f>
        <x:v>0</x:v>
      </x:c>
      <x:c r="AO48" s="18" t="n">
        <x:f>AO47-MAX(0,AO47)+(H48-I48-G48*'Ipotesi BP'!E19-L48-M48-P48-Q48+'Ipotesi BP'!E27/12-X48)*'Ipotesi BP'!E34</x:f>
        <x:v>-1725.7767683700586</x:v>
      </x:c>
    </x:row>
    <x:row r="49" ht="25" customHeight="1">
      <x:c r="A49" s="17" t="n">
        <x:f>44</x:f>
        <x:v>44</x:v>
      </x:c>
      <x:c r="B49" s="26" t="n">
        <x:f>2030</x:f>
        <x:v>2030</x:v>
      </x:c>
      <x:c r="C49" s="27" t="n">
        <x:f>F48</x:f>
        <x:v>535.6334695608178</x:v>
      </x:c>
      <x:c r="D49" s="28" t="n">
        <x:f>('Ipotesi BP'!E9/'Ipotesi BP'!E10*'Ipotesi BP'!E11+'Ipotesi BP'!E13+'Ipotesi BP'!E15+'Ipotesi BP'!E17)/12*'Ipotesi BP'!E45</x:f>
        <x:v>33.333333333333336</x:v>
      </x:c>
      <x:c r="E49" s="28" t="n">
        <x:f>C49*'Ipotesi BP'!E8</x:f>
        <x:v>10.712669391216357</x:v>
      </x:c>
      <x:c r="F49" s="27" t="n">
        <x:f>C49+D49-E49</x:f>
        <x:v>558.2541335029349</x:v>
      </x:c>
      <x:c r="G49" s="27" t="n">
        <x:f>(C49+F49)/2</x:f>
        <x:v>546.9438015318764</x:v>
      </x:c>
      <x:c r="H49" s="18" t="n">
        <x:f>G49*'Ipotesi BP'!E6</x:f>
        <x:v>43208.56032101823</x:v>
      </x:c>
      <x:c r="I49" s="18" t="n">
        <x:f>G49*'Ipotesi BP'!E7</x:f>
        <x:v>29885.009315701725</x:v>
      </x:c>
      <x:c r="J49" s="18" t="n">
        <x:f>G49*('Ipotesi BP'!E6*(1+'Ipotesi BP'!E34)*'Ipotesi BP'!E35+'Ipotesi BP'!E36)</x:f>
        <x:v>927.4526042576027</x:v>
      </x:c>
      <x:c r="K49" s="18" t="n">
        <x:f>G49*'Ipotesi BP'!E19+H49*'Ipotesi BP'!E20</x:f>
        <x:v>1525.9732062739351</x:v>
      </x:c>
      <x:c r="L49" s="18" t="n">
        <x:f>D49*'Ipotesi BP'!E18</x:f>
        <x:v>800</x:v>
      </x:c>
      <x:c r="M49" s="18" t="n">
        <x:f>('Ipotesi BP'!E9+'Ipotesi BP'!E12+'Ipotesi BP'!E14+'Ipotesi BP'!E16)/12</x:f>
        <x:v>4350</x:v>
      </x:c>
      <x:c r="N49" s="18" t="n">
        <x:f>'Ipotesi BP'!E21/12</x:f>
        <x:v>3500</x:v>
      </x:c>
      <x:c r="O49" s="18" t="n">
        <x:f>'Ipotesi BP'!E22*'Ipotesi BP'!E23/12</x:f>
        <x:v>4917.25</x:v>
      </x:c>
      <x:c r="P49" s="18" t="n">
        <x:f>'Ipotesi BP'!E24/12</x:f>
        <x:v>1250</x:v>
      </x:c>
      <x:c r="Q49" s="18" t="n">
        <x:f>SUM('Ipotesi BP'!E25:E29)/12</x:f>
        <x:v>1850</x:v>
      </x:c>
      <x:c r="R49" s="17" t="n">
        <x:f>0</x:f>
        <x:v>0</x:v>
      </x:c>
      <x:c r="S49" s="17" t="n">
        <x:f>H49-SUM(I49:R49)</x:f>
        <x:v>-5797.124805215033</x:v>
      </x:c>
      <x:c r="T49" s="17" t="n">
        <x:f>SUM(X14:X49)/36</x:f>
        <x:v>55.55555555555556</x:v>
      </x:c>
      <x:c r="U49" s="17" t="n">
        <x:f>S49-T49</x:f>
        <x:v>-5852.680360770589</x:v>
      </x:c>
      <x:c r="V49" s="18" t="n">
        <x:f>MAX(0,U49)*'Ipotesi BP'!E38+MAX(0,U49+N49)*'Ipotesi BP'!E39</x:f>
        <x:v>0</x:v>
      </x:c>
      <x:c r="W49" s="17" t="n">
        <x:f>U49-V49</x:f>
        <x:v>-5852.680360770589</x:v>
      </x:c>
      <x:c r="X49" s="17" t="n">
        <x:f>0</x:f>
        <x:v>0</x:v>
      </x:c>
      <x:c r="Y49" s="18" t="n">
        <x:f>H49*(1+'Ipotesi BP'!E34)*'Ipotesi BP'!E37/30</x:f>
        <x:v>3514.296239442816</x:v>
      </x:c>
      <x:c r="Z49" s="17" t="n">
        <x:f>MAX(0,-AO49)</x:f>
        <x:v>795.250819874453</x:v>
      </x:c>
      <x:c r="AA49" s="17" t="n">
        <x:f>MAX(0,AO49)</x:f>
        <x:v>0</x:v>
      </x:c>
      <x:c r="AB49" s="17" t="n">
        <x:f>Y49+Z49-AA49-Y48-Z48+AA48</x:f>
        <x:v>-783.6975270783391</x:v>
      </x:c>
      <x:c r="AC49" s="17" t="n">
        <x:f>W49+T49-AB49</x:f>
        <x:v>-5013.427278136694</x:v>
      </x:c>
      <x:c r="AD49" s="17" t="n">
        <x:f>0</x:f>
        <x:v>0</x:v>
      </x:c>
      <x:c r="AE49" s="17" t="n">
        <x:f>0</x:f>
        <x:v>0</x:v>
      </x:c>
      <x:c r="AF49" s="17" t="n">
        <x:f>AF48+AC49-X49+AD49+AE49</x:f>
        <x:v>30104.98365262938</x:v>
      </x:c>
      <x:c r="AG49" s="17" t="n">
        <x:f>AG48+AC49-X49+AD49</x:f>
        <x:v>-219895.01634737058</x:v>
      </x:c>
      <x:c r="AH49" s="17" t="n">
        <x:f>SUM($X$6:X49)-SUM($T$6:T49)</x:f>
        <x:v>1055.5555555555557</x:v>
      </x:c>
      <x:c r="AI49" s="17" t="n">
        <x:f>SUM($W$6:W49)</x:f>
        <x:v>-224529.9137324978</x:v>
      </x:c>
      <x:c r="AJ49" s="17" t="n">
        <x:f>SUM($AD$6:AE49)</x:f>
        <x:v>260000</x:v>
      </x:c>
      <x:c r="AK49" s="17" t="n">
        <x:f>AF49+Y49+Z49+AH49-AA49-AI49-AJ49</x:f>
        <x:v>0</x:v>
      </x:c>
      <x:c r="AL49" s="18" t="n">
        <x:f>G49*'Ipotesi BP'!E40/60+D49*'Ipotesi BP'!E41/60+'Ipotesi BP'!E44</x:f>
        <x:v>122.37028464869462</x:v>
      </x:c>
      <x:c r="AM49" s="18" t="n">
        <x:f>'Ipotesi BP'!E42+'Ipotesi BP'!E22*'Ipotesi BP'!E43</x:f>
        <x:v>220</x:v>
      </x:c>
      <x:c r="AN49" s="17" t="n">
        <x:f>MAX(0,AL49-AM49)</x:f>
        <x:v>0</x:v>
      </x:c>
      <x:c r="AO49" s="18" t="n">
        <x:f>AO48-MAX(0,AO48)+(H49-I49-G49*'Ipotesi BP'!E19-L49-M49-P49-Q49+'Ipotesi BP'!E27/12-X49)*'Ipotesi BP'!E34</x:f>
        <x:v>-795.250819874453</x:v>
      </x:c>
    </x:row>
    <x:row r="50" ht="25" customHeight="1">
      <x:c r="A50" s="17" t="n">
        <x:f>45</x:f>
        <x:v>45</x:v>
      </x:c>
      <x:c r="B50" s="26" t="n">
        <x:f>2030</x:f>
        <x:v>2030</x:v>
      </x:c>
      <x:c r="C50" s="27" t="n">
        <x:f>F49</x:f>
        <x:v>558.2541335029349</x:v>
      </x:c>
      <x:c r="D50" s="28" t="n">
        <x:f>('Ipotesi BP'!E9/'Ipotesi BP'!E10*'Ipotesi BP'!E11+'Ipotesi BP'!E13+'Ipotesi BP'!E15+'Ipotesi BP'!E17)/12*'Ipotesi BP'!E45</x:f>
        <x:v>33.333333333333336</x:v>
      </x:c>
      <x:c r="E50" s="28" t="n">
        <x:f>C50*'Ipotesi BP'!E8</x:f>
        <x:v>11.165082670058698</x:v>
      </x:c>
      <x:c r="F50" s="27" t="n">
        <x:f>C50+D50-E50</x:f>
        <x:v>580.4223841662096</x:v>
      </x:c>
      <x:c r="G50" s="27" t="n">
        <x:f>(C50+F50)/2</x:f>
        <x:v>569.3382588345722</x:v>
      </x:c>
      <x:c r="H50" s="18" t="n">
        <x:f>G50*'Ipotesi BP'!E6</x:f>
        <x:v>44977.722447931206</x:v>
      </x:c>
      <x:c r="I50" s="18" t="n">
        <x:f>G50*'Ipotesi BP'!E7</x:f>
        <x:v>31108.642462721025</x:v>
      </x:c>
      <x:c r="J50" s="18" t="n">
        <x:f>G50*('Ipotesi BP'!E6*(1+'Ipotesi BP'!E34)*'Ipotesi BP'!E35+'Ipotesi BP'!E36)</x:f>
        <x:v>965.4268855057841</x:v>
      </x:c>
      <x:c r="K50" s="18" t="n">
        <x:f>G50*'Ipotesi BP'!E19+H50*'Ipotesi BP'!E20</x:f>
        <x:v>1588.4537421484565</x:v>
      </x:c>
      <x:c r="L50" s="18" t="n">
        <x:f>D50*'Ipotesi BP'!E18</x:f>
        <x:v>800</x:v>
      </x:c>
      <x:c r="M50" s="18" t="n">
        <x:f>('Ipotesi BP'!E9+'Ipotesi BP'!E12+'Ipotesi BP'!E14+'Ipotesi BP'!E16)/12</x:f>
        <x:v>4350</x:v>
      </x:c>
      <x:c r="N50" s="18" t="n">
        <x:f>'Ipotesi BP'!E21/12</x:f>
        <x:v>3500</x:v>
      </x:c>
      <x:c r="O50" s="18" t="n">
        <x:f>'Ipotesi BP'!E22*'Ipotesi BP'!E23/12</x:f>
        <x:v>4917.25</x:v>
      </x:c>
      <x:c r="P50" s="18" t="n">
        <x:f>'Ipotesi BP'!E24/12</x:f>
        <x:v>1250</x:v>
      </x:c>
      <x:c r="Q50" s="18" t="n">
        <x:f>SUM('Ipotesi BP'!E25:E29)/12</x:f>
        <x:v>1850</x:v>
      </x:c>
      <x:c r="R50" s="17" t="n">
        <x:f>0</x:f>
        <x:v>0</x:v>
      </x:c>
      <x:c r="S50" s="17" t="n">
        <x:f>H50-SUM(I50:R50)</x:f>
        <x:v>-5352.050642444061</x:v>
      </x:c>
      <x:c r="T50" s="17" t="n">
        <x:f>SUM(X15:X50)/36</x:f>
        <x:v>55.55555555555556</x:v>
      </x:c>
      <x:c r="U50" s="17" t="n">
        <x:f>S50-T50</x:f>
        <x:v>-5407.606197999617</x:v>
      </x:c>
      <x:c r="V50" s="18" t="n">
        <x:f>MAX(0,U50)*'Ipotesi BP'!E38+MAX(0,U50+N50)*'Ipotesi BP'!E39</x:f>
        <x:v>0</x:v>
      </x:c>
      <x:c r="W50" s="17" t="n">
        <x:f>U50-V50</x:f>
        <x:v>-5407.606197999617</x:v>
      </x:c>
      <x:c r="X50" s="17" t="n">
        <x:f>0</x:f>
        <x:v>0</x:v>
      </x:c>
      <x:c r="Y50" s="18" t="n">
        <x:f>H50*(1+'Ipotesi BP'!E34)*'Ipotesi BP'!E37/30</x:f>
        <x:v>3658.188092431738</x:v>
      </x:c>
      <x:c r="Z50" s="17" t="n">
        <x:f>MAX(0,-AO50)</x:f>
        <x:v>0</x:v>
      </x:c>
      <x:c r="AA50" s="17" t="n">
        <x:f>MAX(0,AO50)</x:f>
        <x:v>245.437942984575</x:v>
      </x:c>
      <x:c r="AB50" s="17" t="n">
        <x:f>Y50+Z50-AA50-Y49-Z49+AA49</x:f>
        <x:v>-896.7969098701059</x:v>
      </x:c>
      <x:c r="AC50" s="17" t="n">
        <x:f>W50+T50-AB50</x:f>
        <x:v>-4455.253732573955</x:v>
      </x:c>
      <x:c r="AD50" s="17" t="n">
        <x:f>0</x:f>
        <x:v>0</x:v>
      </x:c>
      <x:c r="AE50" s="17" t="n">
        <x:f>0</x:f>
        <x:v>0</x:v>
      </x:c>
      <x:c r="AF50" s="17" t="n">
        <x:f>AF49+AC50-X50+AD50+AE50</x:f>
        <x:v>25649.729920055426</x:v>
      </x:c>
      <x:c r="AG50" s="17" t="n">
        <x:f>AG49+AC50-X50+AD50</x:f>
        <x:v>-224350.27007994454</x:v>
      </x:c>
      <x:c r="AH50" s="17" t="n">
        <x:f>SUM($X$6:X50)-SUM($T$6:T50)</x:f>
        <x:v>1000</x:v>
      </x:c>
      <x:c r="AI50" s="17" t="n">
        <x:f>SUM($W$6:W50)</x:f>
        <x:v>-229937.51993049742</x:v>
      </x:c>
      <x:c r="AJ50" s="17" t="n">
        <x:f>SUM($AD$6:AE50)</x:f>
        <x:v>260000</x:v>
      </x:c>
      <x:c r="AK50" s="17" t="n">
        <x:f>AF50+Y50+Z50+AH50-AA50-AI50-AJ50</x:f>
        <x:v>0</x:v>
      </x:c>
      <x:c r="AL50" s="18" t="n">
        <x:f>G50*'Ipotesi BP'!E40/60+D50*'Ipotesi BP'!E41/60+'Ipotesi BP'!E44</x:f>
        <x:v>125.35621228905407</x:v>
      </x:c>
      <x:c r="AM50" s="18" t="n">
        <x:f>'Ipotesi BP'!E42+'Ipotesi BP'!E22*'Ipotesi BP'!E43</x:f>
        <x:v>220</x:v>
      </x:c>
      <x:c r="AN50" s="17" t="n">
        <x:f>MAX(0,AL50-AM50)</x:f>
        <x:v>0</x:v>
      </x:c>
      <x:c r="AO50" s="18" t="n">
        <x:f>AO49-MAX(0,AO49)+(H50-I50-G50*'Ipotesi BP'!E19-L50-M50-P50-Q50+'Ipotesi BP'!E27/12-X50)*'Ipotesi BP'!E34</x:f>
        <x:v>245.437942984575</x:v>
      </x:c>
    </x:row>
    <x:row r="51" ht="25" customHeight="1">
      <x:c r="A51" s="17" t="n">
        <x:f>46</x:f>
        <x:v>46</x:v>
      </x:c>
      <x:c r="B51" s="26" t="n">
        <x:f>2030</x:f>
        <x:v>2030</x:v>
      </x:c>
      <x:c r="C51" s="27" t="n">
        <x:f>F50</x:f>
        <x:v>580.4223841662096</x:v>
      </x:c>
      <x:c r="D51" s="28" t="n">
        <x:f>('Ipotesi BP'!E9/'Ipotesi BP'!E10*'Ipotesi BP'!E11+'Ipotesi BP'!E13+'Ipotesi BP'!E15+'Ipotesi BP'!E17)/12*'Ipotesi BP'!E45</x:f>
        <x:v>33.333333333333336</x:v>
      </x:c>
      <x:c r="E51" s="28" t="n">
        <x:f>C51*'Ipotesi BP'!E8</x:f>
        <x:v>11.608447683324192</x:v>
      </x:c>
      <x:c r="F51" s="27" t="n">
        <x:f>C51+D51-E51</x:f>
        <x:v>602.1472698162187</x:v>
      </x:c>
      <x:c r="G51" s="27" t="n">
        <x:f>(C51+F51)/2</x:f>
        <x:v>591.2848269912141</x:v>
      </x:c>
      <x:c r="H51" s="18" t="n">
        <x:f>G51*'Ipotesi BP'!E6</x:f>
        <x:v>46711.50133230592</x:v>
      </x:c>
      <x:c r="I51" s="18" t="n">
        <x:f>G51*'Ipotesi BP'!E7</x:f>
        <x:v>32307.80294679994</x:v>
      </x:c>
      <x:c r="J51" s="18" t="n">
        <x:f>G51*('Ipotesi BP'!E6*(1+'Ipotesi BP'!E34)*'Ipotesi BP'!E35+'Ipotesi BP'!E36)</x:f>
        <x:v>1002.6416811290018</x:v>
      </x:c>
      <x:c r="K51" s="18" t="n">
        <x:f>G51*'Ipotesi BP'!E19+H51*'Ipotesi BP'!E20</x:f>
        <x:v>1649.6846673054874</x:v>
      </x:c>
      <x:c r="L51" s="18" t="n">
        <x:f>D51*'Ipotesi BP'!E18</x:f>
        <x:v>800</x:v>
      </x:c>
      <x:c r="M51" s="18" t="n">
        <x:f>('Ipotesi BP'!E9+'Ipotesi BP'!E12+'Ipotesi BP'!E14+'Ipotesi BP'!E16)/12</x:f>
        <x:v>4350</x:v>
      </x:c>
      <x:c r="N51" s="18" t="n">
        <x:f>'Ipotesi BP'!E21/12</x:f>
        <x:v>3500</x:v>
      </x:c>
      <x:c r="O51" s="18" t="n">
        <x:f>'Ipotesi BP'!E22*'Ipotesi BP'!E23/12</x:f>
        <x:v>4917.25</x:v>
      </x:c>
      <x:c r="P51" s="18" t="n">
        <x:f>'Ipotesi BP'!E24/12</x:f>
        <x:v>1250</x:v>
      </x:c>
      <x:c r="Q51" s="18" t="n">
        <x:f>SUM('Ipotesi BP'!E25:E29)/12</x:f>
        <x:v>1850</x:v>
      </x:c>
      <x:c r="R51" s="17" t="n">
        <x:f>0</x:f>
        <x:v>0</x:v>
      </x:c>
      <x:c r="S51" s="17" t="n">
        <x:f>H51-SUM(I51:R51)</x:f>
        <x:v>-4915.877962928513</x:v>
      </x:c>
      <x:c r="T51" s="17" t="n">
        <x:f>SUM(X16:X51)/36</x:f>
        <x:v>55.55555555555556</x:v>
      </x:c>
      <x:c r="U51" s="17" t="n">
        <x:f>S51-T51</x:f>
        <x:v>-4971.433518484068</x:v>
      </x:c>
      <x:c r="V51" s="18" t="n">
        <x:f>MAX(0,U51)*'Ipotesi BP'!E38+MAX(0,U51+N51)*'Ipotesi BP'!E39</x:f>
        <x:v>0</x:v>
      </x:c>
      <x:c r="W51" s="17" t="n">
        <x:f>U51-V51</x:f>
        <x:v>-4971.433518484068</x:v>
      </x:c>
      <x:c r="X51" s="17" t="n">
        <x:f>0</x:f>
        <x:v>0</x:v>
      </x:c>
      <x:c r="Y51" s="18" t="n">
        <x:f>H51*(1+'Ipotesi BP'!E34)*'Ipotesi BP'!E37/30</x:f>
        <x:v>3799.202108360881</x:v>
      </x:c>
      <x:c r="Z51" s="17" t="n">
        <x:f>MAX(0,-AO51)</x:f>
        <x:v>0</x:v>
      </x:c>
      <x:c r="AA51" s="17" t="n">
        <x:f>MAX(0,AO51)</x:f>
        <x:v>1148.648320935181</x:v>
      </x:c>
      <x:c r="AB51" s="17" t="n">
        <x:f>Y51+Z51-AA51-Y50-Z50+AA50</x:f>
        <x:v>-762.1963620214627</x:v>
      </x:c>
      <x:c r="AC51" s="17" t="n">
        <x:f>W51+T51-AB51</x:f>
        <x:v>-4153.68160090705</x:v>
      </x:c>
      <x:c r="AD51" s="17" t="n">
        <x:f>0</x:f>
        <x:v>0</x:v>
      </x:c>
      <x:c r="AE51" s="17" t="n">
        <x:f>0</x:f>
        <x:v>0</x:v>
      </x:c>
      <x:c r="AF51" s="17" t="n">
        <x:f>AF50+AC51-X51+AD51+AE51</x:f>
        <x:v>21496.048319148376</x:v>
      </x:c>
      <x:c r="AG51" s="17" t="n">
        <x:f>AG50+AC51-X51+AD51</x:f>
        <x:v>-228503.9516808516</x:v>
      </x:c>
      <x:c r="AH51" s="17" t="n">
        <x:f>SUM($X$6:X51)-SUM($T$6:T51)</x:f>
        <x:v>944.4444444444443</x:v>
      </x:c>
      <x:c r="AI51" s="17" t="n">
        <x:f>SUM($W$6:W51)</x:f>
        <x:v>-234908.95344898148</x:v>
      </x:c>
      <x:c r="AJ51" s="17" t="n">
        <x:f>SUM($AD$6:AE51)</x:f>
        <x:v>260000</x:v>
      </x:c>
      <x:c r="AK51" s="17" t="n">
        <x:f>AF51+Y51+Z51+AH51-AA51-AI51-AJ51</x:f>
        <x:v>0</x:v>
      </x:c>
      <x:c r="AL51" s="18" t="n">
        <x:f>G51*'Ipotesi BP'!E40/60+D51*'Ipotesi BP'!E41/60+'Ipotesi BP'!E44</x:f>
        <x:v>128.28242137660632</x:v>
      </x:c>
      <x:c r="AM51" s="18" t="n">
        <x:f>'Ipotesi BP'!E42+'Ipotesi BP'!E22*'Ipotesi BP'!E43</x:f>
        <x:v>220</x:v>
      </x:c>
      <x:c r="AN51" s="17" t="n">
        <x:f>MAX(0,AL51-AM51)</x:f>
        <x:v>0</x:v>
      </x:c>
      <x:c r="AO51" s="18" t="n">
        <x:f>AO50-MAX(0,AO50)+(H51-I51-G51*'Ipotesi BP'!E19-L51-M51-P51-Q51+'Ipotesi BP'!E27/12-X51)*'Ipotesi BP'!E34</x:f>
        <x:v>1148.648320935181</x:v>
      </x:c>
    </x:row>
    <x:row r="52" ht="25" customHeight="1">
      <x:c r="A52" s="17" t="n">
        <x:f>47</x:f>
        <x:v>47</x:v>
      </x:c>
      <x:c r="B52" s="26" t="n">
        <x:f>2030</x:f>
        <x:v>2030</x:v>
      </x:c>
      <x:c r="C52" s="27" t="n">
        <x:f>F51</x:f>
        <x:v>602.1472698162187</x:v>
      </x:c>
      <x:c r="D52" s="28" t="n">
        <x:f>('Ipotesi BP'!E9/'Ipotesi BP'!E10*'Ipotesi BP'!E11+'Ipotesi BP'!E13+'Ipotesi BP'!E15+'Ipotesi BP'!E17)/12*'Ipotesi BP'!E45</x:f>
        <x:v>33.333333333333336</x:v>
      </x:c>
      <x:c r="E52" s="28" t="n">
        <x:f>C52*'Ipotesi BP'!E8</x:f>
        <x:v>12.042945396324374</x:v>
      </x:c>
      <x:c r="F52" s="27" t="n">
        <x:f>C52+D52-E52</x:f>
        <x:v>623.4376577532277</x:v>
      </x:c>
      <x:c r="G52" s="27" t="n">
        <x:f>(C52+F52)/2</x:f>
        <x:v>612.7924637847232</x:v>
      </x:c>
      <x:c r="H52" s="18" t="n">
        <x:f>G52*'Ipotesi BP'!E6</x:f>
        <x:v>48410.60463899313</x:v>
      </x:c>
      <x:c r="I52" s="18" t="n">
        <x:f>G52*'Ipotesi BP'!E7</x:f>
        <x:v>33482.98022119727</x:v>
      </x:c>
      <x:c r="J52" s="18" t="n">
        <x:f>G52*('Ipotesi BP'!E6*(1+'Ipotesi BP'!E34)*'Ipotesi BP'!E35+'Ipotesi BP'!E36)</x:f>
        <x:v>1039.112180839755</x:v>
      </x:c>
      <x:c r="K52" s="18" t="n">
        <x:f>G52*'Ipotesi BP'!E19+H52*'Ipotesi BP'!E20</x:f>
        <x:v>1709.6909739593775</x:v>
      </x:c>
      <x:c r="L52" s="18" t="n">
        <x:f>D52*'Ipotesi BP'!E18</x:f>
        <x:v>800</x:v>
      </x:c>
      <x:c r="M52" s="18" t="n">
        <x:f>('Ipotesi BP'!E9+'Ipotesi BP'!E12+'Ipotesi BP'!E14+'Ipotesi BP'!E16)/12</x:f>
        <x:v>4350</x:v>
      </x:c>
      <x:c r="N52" s="18" t="n">
        <x:f>'Ipotesi BP'!E21/12</x:f>
        <x:v>3500</x:v>
      </x:c>
      <x:c r="O52" s="18" t="n">
        <x:f>'Ipotesi BP'!E22*'Ipotesi BP'!E23/12</x:f>
        <x:v>4917.25</x:v>
      </x:c>
      <x:c r="P52" s="18" t="n">
        <x:f>'Ipotesi BP'!E24/12</x:f>
        <x:v>1250</x:v>
      </x:c>
      <x:c r="Q52" s="18" t="n">
        <x:f>SUM('Ipotesi BP'!E25:E29)/12</x:f>
        <x:v>1850</x:v>
      </x:c>
      <x:c r="R52" s="17" t="n">
        <x:f>0</x:f>
        <x:v>0</x:v>
      </x:c>
      <x:c r="S52" s="17" t="n">
        <x:f>H52-SUM(I52:R52)</x:f>
        <x:v>-4488.428737003276</x:v>
      </x:c>
      <x:c r="T52" s="17" t="n">
        <x:f>SUM(X17:X52)/36</x:f>
        <x:v>55.55555555555556</x:v>
      </x:c>
      <x:c r="U52" s="17" t="n">
        <x:f>S52-T52</x:f>
        <x:v>-4543.984292558832</x:v>
      </x:c>
      <x:c r="V52" s="18" t="n">
        <x:f>MAX(0,U52)*'Ipotesi BP'!E38+MAX(0,U52+N52)*'Ipotesi BP'!E39</x:f>
        <x:v>0</x:v>
      </x:c>
      <x:c r="W52" s="17" t="n">
        <x:f>U52-V52</x:f>
        <x:v>-4543.984292558832</x:v>
      </x:c>
      <x:c r="X52" s="17" t="n">
        <x:f>0</x:f>
        <x:v>0</x:v>
      </x:c>
      <x:c r="Y52" s="18" t="n">
        <x:f>H52*(1+'Ipotesi BP'!E34)*'Ipotesi BP'!E37/30</x:f>
        <x:v>3937.395843971441</x:v>
      </x:c>
      <x:c r="Z52" s="17" t="n">
        <x:f>MAX(0,-AO52)</x:f>
        <x:v>0</x:v>
      </x:c>
      <x:c r="AA52" s="17" t="n">
        <x:f>MAX(0,AO52)</x:f>
        <x:v>1254.4486878498108</x:v>
      </x:c>
      <x:c r="AB52" s="17" t="n">
        <x:f>Y52+Z52-AA52-Y51-Z51+AA51</x:f>
        <x:v>32.39336869593035</x:v>
      </x:c>
      <x:c r="AC52" s="17" t="n">
        <x:f>W52+T52-AB52</x:f>
        <x:v>-4520.822105699206</x:v>
      </x:c>
      <x:c r="AD52" s="17" t="n">
        <x:f>0</x:f>
        <x:v>0</x:v>
      </x:c>
      <x:c r="AE52" s="17" t="n">
        <x:f>0</x:f>
        <x:v>0</x:v>
      </x:c>
      <x:c r="AF52" s="17" t="n">
        <x:f>AF51+AC52-X52+AD52+AE52</x:f>
        <x:v>16975.22621344917</x:v>
      </x:c>
      <x:c r="AG52" s="17" t="n">
        <x:f>AG51+AC52-X52+AD52</x:f>
        <x:v>-233024.77378655082</x:v>
      </x:c>
      <x:c r="AH52" s="17" t="n">
        <x:f>SUM($X$6:X52)-SUM($T$6:T52)</x:f>
        <x:v>888.8888888888887</x:v>
      </x:c>
      <x:c r="AI52" s="17" t="n">
        <x:f>SUM($W$6:W52)</x:f>
        <x:v>-239452.9377415403</x:v>
      </x:c>
      <x:c r="AJ52" s="17" t="n">
        <x:f>SUM($AD$6:AE52)</x:f>
        <x:v>260000</x:v>
      </x:c>
      <x:c r="AK52" s="17" t="n">
        <x:f>AF52+Y52+Z52+AH52-AA52-AI52-AJ52</x:f>
        <x:v>0</x:v>
      </x:c>
      <x:c r="AL52" s="18" t="n">
        <x:f>G52*'Ipotesi BP'!E40/60+D52*'Ipotesi BP'!E41/60+'Ipotesi BP'!E44</x:f>
        <x:v>131.15010628240753</x:v>
      </x:c>
      <x:c r="AM52" s="18" t="n">
        <x:f>'Ipotesi BP'!E42+'Ipotesi BP'!E22*'Ipotesi BP'!E43</x:f>
        <x:v>220</x:v>
      </x:c>
      <x:c r="AN52" s="17" t="n">
        <x:f>MAX(0,AL52-AM52)</x:f>
        <x:v>0</x:v>
      </x:c>
      <x:c r="AO52" s="18" t="n">
        <x:f>AO51-MAX(0,AO51)+(H52-I52-G52*'Ipotesi BP'!E19-L52-M52-P52-Q52+'Ipotesi BP'!E27/12-X52)*'Ipotesi BP'!E34</x:f>
        <x:v>1254.4486878498108</x:v>
      </x:c>
    </x:row>
    <x:row r="53" ht="25" customHeight="1">
      <x:c r="A53" s="17" t="n">
        <x:f>48</x:f>
        <x:v>48</x:v>
      </x:c>
      <x:c r="B53" s="26" t="n">
        <x:f>2030</x:f>
        <x:v>2030</x:v>
      </x:c>
      <x:c r="C53" s="27" t="n">
        <x:f>F52</x:f>
        <x:v>623.4376577532277</x:v>
      </x:c>
      <x:c r="D53" s="28" t="n">
        <x:f>('Ipotesi BP'!E9/'Ipotesi BP'!E10*'Ipotesi BP'!E11+'Ipotesi BP'!E13+'Ipotesi BP'!E15+'Ipotesi BP'!E17)/12*'Ipotesi BP'!E45</x:f>
        <x:v>33.333333333333336</x:v>
      </x:c>
      <x:c r="E53" s="28" t="n">
        <x:f>C53*'Ipotesi BP'!E8</x:f>
        <x:v>12.468753155064553</x:v>
      </x:c>
      <x:c r="F53" s="27" t="n">
        <x:f>C53+D53-E53</x:f>
        <x:v>644.3022379314965</x:v>
      </x:c>
      <x:c r="G53" s="27" t="n">
        <x:f>(C53+F53)/2</x:f>
        <x:v>633.8699478423621</x:v>
      </x:c>
      <x:c r="H53" s="18" t="n">
        <x:f>G53*'Ipotesi BP'!E6</x:f>
        <x:v>50075.725879546604</x:v>
      </x:c>
      <x:c r="I53" s="18" t="n">
        <x:f>G53*'Ipotesi BP'!E7</x:f>
        <x:v>34634.653950106665</x:v>
      </x:c>
      <x:c r="J53" s="18" t="n">
        <x:f>G53*('Ipotesi BP'!E6*(1+'Ipotesi BP'!E34)*'Ipotesi BP'!E35+'Ipotesi BP'!E36)</x:f>
        <x:v>1074.8532705562934</x:v>
      </x:c>
      <x:c r="K53" s="18" t="n">
        <x:f>G53*'Ipotesi BP'!E19+H53*'Ipotesi BP'!E20</x:f>
        <x:v>1768.4971544801901</x:v>
      </x:c>
      <x:c r="L53" s="18" t="n">
        <x:f>D53*'Ipotesi BP'!E18</x:f>
        <x:v>800</x:v>
      </x:c>
      <x:c r="M53" s="18" t="n">
        <x:f>('Ipotesi BP'!E9+'Ipotesi BP'!E12+'Ipotesi BP'!E14+'Ipotesi BP'!E16)/12</x:f>
        <x:v>4350</x:v>
      </x:c>
      <x:c r="N53" s="18" t="n">
        <x:f>'Ipotesi BP'!E21/12</x:f>
        <x:v>3500</x:v>
      </x:c>
      <x:c r="O53" s="18" t="n">
        <x:f>'Ipotesi BP'!E22*'Ipotesi BP'!E23/12</x:f>
        <x:v>4917.25</x:v>
      </x:c>
      <x:c r="P53" s="18" t="n">
        <x:f>'Ipotesi BP'!E24/12</x:f>
        <x:v>1250</x:v>
      </x:c>
      <x:c r="Q53" s="18" t="n">
        <x:f>SUM('Ipotesi BP'!E25:E29)/12</x:f>
        <x:v>1850</x:v>
      </x:c>
      <x:c r="R53" s="17" t="n">
        <x:f>0</x:f>
        <x:v>0</x:v>
      </x:c>
      <x:c r="S53" s="17" t="n">
        <x:f>H53-SUM(I53:R53)</x:f>
        <x:v>-4069.52849559654</x:v>
      </x:c>
      <x:c r="T53" s="17" t="n">
        <x:f>SUM(X18:X53)/36</x:f>
        <x:v>55.55555555555556</x:v>
      </x:c>
      <x:c r="U53" s="17" t="n">
        <x:f>S53-T53</x:f>
        <x:v>-4125.0840511520955</x:v>
      </x:c>
      <x:c r="V53" s="18" t="n">
        <x:f>MAX(0,U53)*'Ipotesi BP'!E38+MAX(0,U53+N53)*'Ipotesi BP'!E39</x:f>
        <x:v>0</x:v>
      </x:c>
      <x:c r="W53" s="17" t="n">
        <x:f>U53-V53</x:f>
        <x:v>-4125.0840511520955</x:v>
      </x:c>
      <x:c r="X53" s="17" t="n">
        <x:f>0</x:f>
        <x:v>0</x:v>
      </x:c>
      <x:c r="Y53" s="18" t="n">
        <x:f>H53*(1+'Ipotesi BP'!E34)*'Ipotesi BP'!E37/30</x:f>
        <x:v>4072.8257048697906</x:v>
      </x:c>
      <x:c r="Z53" s="17" t="n">
        <x:f>MAX(0,-AO53)</x:f>
        <x:v>0</x:v>
      </x:c>
      <x:c r="AA53" s="17" t="n">
        <x:f>MAX(0,AO53)</x:f>
        <x:v>1358.1330474261472</x:v>
      </x:c>
      <x:c r="AB53" s="17" t="n">
        <x:f>Y53+Z53-AA53-Y52-Z52+AA52</x:f>
        <x:v>31.74550132201307</x:v>
      </x:c>
      <x:c r="AC53" s="17" t="n">
        <x:f>W53+T53-AB53</x:f>
        <x:v>-4101.273996918553</x:v>
      </x:c>
      <x:c r="AD53" s="17" t="n">
        <x:f>0</x:f>
        <x:v>0</x:v>
      </x:c>
      <x:c r="AE53" s="17" t="n">
        <x:f>0</x:f>
        <x:v>0</x:v>
      </x:c>
      <x:c r="AF53" s="17" t="n">
        <x:f>AF52+AC53-X53+AD53+AE53</x:f>
        <x:v>12873.952216530615</x:v>
      </x:c>
      <x:c r="AG53" s="17" t="n">
        <x:f>AG52+AC53-X53+AD53</x:f>
        <x:v>-237126.04778346937</x:v>
      </x:c>
      <x:c r="AH53" s="17" t="n">
        <x:f>SUM($X$6:X53)-SUM($T$6:T53)</x:f>
        <x:v>833.333333333333</x:v>
      </x:c>
      <x:c r="AI53" s="17" t="n">
        <x:f>SUM($W$6:W53)</x:f>
        <x:v>-243578.02179269242</x:v>
      </x:c>
      <x:c r="AJ53" s="17" t="n">
        <x:f>SUM($AD$6:AE53)</x:f>
        <x:v>260000</x:v>
      </x:c>
      <x:c r="AK53" s="17" t="n">
        <x:f>AF53+Y53+Z53+AH53-AA53-AI53-AJ53</x:f>
        <x:v>0</x:v>
      </x:c>
      <x:c r="AL53" s="18" t="n">
        <x:f>G53*'Ipotesi BP'!E40/60+D53*'Ipotesi BP'!E41/60+'Ipotesi BP'!E44</x:f>
        <x:v>133.96043749009272</x:v>
      </x:c>
      <x:c r="AM53" s="18" t="n">
        <x:f>'Ipotesi BP'!E42+'Ipotesi BP'!E22*'Ipotesi BP'!E43</x:f>
        <x:v>220</x:v>
      </x:c>
      <x:c r="AN53" s="17" t="n">
        <x:f>MAX(0,AL53-AM53)</x:f>
        <x:v>0</x:v>
      </x:c>
      <x:c r="AO53" s="18" t="n">
        <x:f>AO52-MAX(0,AO52)+(H53-I53-G53*'Ipotesi BP'!E19-L53-M53-P53-Q53+'Ipotesi BP'!E27/12-X53)*'Ipotesi BP'!E34</x:f>
        <x:v>1358.1330474261472</x:v>
      </x:c>
    </x:row>
    <x:row r="54" ht="25" customHeight="1">
      <x:c r="A54" s="17" t="n">
        <x:f>49</x:f>
        <x:v>49</x:v>
      </x:c>
      <x:c r="B54" s="26" t="n">
        <x:f>2031</x:f>
        <x:v>2031</x:v>
      </x:c>
      <x:c r="C54" s="27" t="n">
        <x:f>F53</x:f>
        <x:v>644.3022379314965</x:v>
      </x:c>
      <x:c r="D54" s="28" t="n">
        <x:f>('Ipotesi BP'!F9/'Ipotesi BP'!F10*'Ipotesi BP'!F11+'Ipotesi BP'!F13+'Ipotesi BP'!F15+'Ipotesi BP'!F17)/12*'Ipotesi BP'!F45</x:f>
        <x:v>45</x:v>
      </x:c>
      <x:c r="E54" s="28" t="n">
        <x:f>C54*'Ipotesi BP'!F8</x:f>
        <x:v>12.88604475862993</x:v>
      </x:c>
      <x:c r="F54" s="27" t="n">
        <x:f>C54+D54-E54</x:f>
        <x:v>676.4161931728665</x:v>
      </x:c>
      <x:c r="G54" s="27" t="n">
        <x:f>(C54+F54)/2</x:f>
        <x:v>660.3592155521815</x:v>
      </x:c>
      <x:c r="H54" s="18" t="n">
        <x:f>G54*'Ipotesi BP'!F6</x:f>
        <x:v>52168.378028622334</x:v>
      </x:c>
      <x:c r="I54" s="18" t="n">
        <x:f>G54*'Ipotesi BP'!F7</x:f>
        <x:v>37165.016651276776</x:v>
      </x:c>
      <x:c r="J54" s="18" t="n">
        <x:f>G54*('Ipotesi BP'!F6*(1+'Ipotesi BP'!F34)*'Ipotesi BP'!F35+'Ipotesi BP'!F36)</x:f>
        <x:v>1119.771121811834</x:v>
      </x:c>
      <x:c r="K54" s="18" t="n">
        <x:f>G54*'Ipotesi BP'!F19+H54*'Ipotesi BP'!F20</x:f>
        <x:v>1842.4022113905862</x:v>
      </x:c>
      <x:c r="L54" s="18" t="n">
        <x:f>D54*'Ipotesi BP'!F18</x:f>
        <x:v>1080</x:v>
      </x:c>
      <x:c r="M54" s="18" t="n">
        <x:f>('Ipotesi BP'!F9+'Ipotesi BP'!F12+'Ipotesi BP'!F14+'Ipotesi BP'!F16)/12</x:f>
        <x:v>5850</x:v>
      </x:c>
      <x:c r="N54" s="18" t="n">
        <x:f>'Ipotesi BP'!F21/12</x:f>
        <x:v>4000</x:v>
      </x:c>
      <x:c r="O54" s="18" t="n">
        <x:f>'Ipotesi BP'!F22*'Ipotesi BP'!F23/12</x:f>
        <x:v>6753</x:v>
      </x:c>
      <x:c r="P54" s="18" t="n">
        <x:f>'Ipotesi BP'!F24/12</x:f>
        <x:v>1500</x:v>
      </x:c>
      <x:c r="Q54" s="18" t="n">
        <x:f>SUM('Ipotesi BP'!F25:F29)/12</x:f>
        <x:v>2183.3333333333335</x:v>
      </x:c>
      <x:c r="R54" s="18" t="n">
        <x:f>'Ipotesi BP'!F30</x:f>
        <x:v>0</x:v>
      </x:c>
      <x:c r="S54" s="17" t="n">
        <x:f>H54-SUM(I54:R54)</x:f>
        <x:v>-9325.1452891902</x:v>
      </x:c>
      <x:c r="T54" s="17" t="n">
        <x:f>SUM(X19:X54)/36</x:f>
        <x:v>69.44444444444444</x:v>
      </x:c>
      <x:c r="U54" s="17" t="n">
        <x:f>S54-T54</x:f>
        <x:v>-9394.589733634646</x:v>
      </x:c>
      <x:c r="V54" s="18" t="n">
        <x:f>MAX(0,U54)*'Ipotesi BP'!F38+MAX(0,U54+N54)*'Ipotesi BP'!F39</x:f>
        <x:v>0</x:v>
      </x:c>
      <x:c r="W54" s="17" t="n">
        <x:f>U54-V54</x:f>
        <x:v>-9394.589733634646</x:v>
      </x:c>
      <x:c r="X54" s="18" t="n">
        <x:f>'Ipotesi BP'!F31</x:f>
        <x:v>1000</x:v>
      </x:c>
      <x:c r="Y54" s="18" t="n">
        <x:f>H54*(1+'Ipotesi BP'!F34)*'Ipotesi BP'!F37/30</x:f>
        <x:v>4243.028079661283</x:v>
      </x:c>
      <x:c r="Z54" s="17" t="n">
        <x:f>MAX(0,-AO54)</x:f>
        <x:v>0</x:v>
      </x:c>
      <x:c r="AA54" s="17" t="n">
        <x:f>MAX(0,AO54)</x:f>
        <x:v>521.2481148397294</x:v>
      </x:c>
      <x:c r="AB54" s="17" t="n">
        <x:f>Y54+Z54-AA54-Y53-Z53+AA53</x:f>
        <x:v>1007.0873073779107</x:v>
      </x:c>
      <x:c r="AC54" s="17" t="n">
        <x:f>W54+T54-AB54</x:f>
        <x:v>-10332.232596568112</x:v>
      </x:c>
      <x:c r="AD54" s="18" t="n">
        <x:f>'Ipotesi BP'!F32</x:f>
        <x:v>0</x:v>
      </x:c>
      <x:c r="AE54" s="18" t="n">
        <x:f>'Ipotesi BP'!F33</x:f>
        <x:v>90000</x:v>
      </x:c>
      <x:c r="AF54" s="17" t="n">
        <x:f>AF53+AC54-X54+AD54+AE54</x:f>
        <x:v>91541.7196199625</x:v>
      </x:c>
      <x:c r="AG54" s="17" t="n">
        <x:f>AG53+AC54-X54+AD54</x:f>
        <x:v>-248458.2803800375</x:v>
      </x:c>
      <x:c r="AH54" s="17" t="n">
        <x:f>SUM($X$6:X54)-SUM($T$6:T54)</x:f>
        <x:v>1763.8888888888887</x:v>
      </x:c>
      <x:c r="AI54" s="17" t="n">
        <x:f>SUM($W$6:W54)</x:f>
        <x:v>-252972.61152632706</x:v>
      </x:c>
      <x:c r="AJ54" s="17" t="n">
        <x:f>SUM($AD$6:AE54)</x:f>
        <x:v>350000</x:v>
      </x:c>
      <x:c r="AK54" s="17" t="n">
        <x:f>AF54+Y54+Z54+AH54-AA54-AI54-AJ54</x:f>
        <x:v>0</x:v>
      </x:c>
      <x:c r="AL54" s="18" t="n">
        <x:f>G54*'Ipotesi BP'!F40/60+D54*'Ipotesi BP'!F41/60+'Ipotesi BP'!F44</x:f>
        <x:v>150.29789540695754</x:v>
      </x:c>
      <x:c r="AM54" s="18" t="n">
        <x:f>'Ipotesi BP'!F42+'Ipotesi BP'!F22*'Ipotesi BP'!F43</x:f>
        <x:v>280</x:v>
      </x:c>
      <x:c r="AN54" s="17" t="n">
        <x:f>MAX(0,AL54-AM54)</x:f>
        <x:v>0</x:v>
      </x:c>
      <x:c r="AO54" s="18" t="n">
        <x:f>AO53-MAX(0,AO53)+(H54-I54-G54*'Ipotesi BP'!F19-L54-M54-P54-Q54+'Ipotesi BP'!F27/12-X54)*'Ipotesi BP'!F34</x:f>
        <x:v>521.2481148397294</x:v>
      </x:c>
    </x:row>
    <x:row r="55" ht="25" customHeight="1">
      <x:c r="A55" s="17" t="n">
        <x:f>50</x:f>
        <x:v>50</x:v>
      </x:c>
      <x:c r="B55" s="26" t="n">
        <x:f>2031</x:f>
        <x:v>2031</x:v>
      </x:c>
      <x:c r="C55" s="27" t="n">
        <x:f>F54</x:f>
        <x:v>676.4161931728665</x:v>
      </x:c>
      <x:c r="D55" s="28" t="n">
        <x:f>('Ipotesi BP'!F9/'Ipotesi BP'!F10*'Ipotesi BP'!F11+'Ipotesi BP'!F13+'Ipotesi BP'!F15+'Ipotesi BP'!F17)/12*'Ipotesi BP'!F45</x:f>
        <x:v>45</x:v>
      </x:c>
      <x:c r="E55" s="28" t="n">
        <x:f>C55*'Ipotesi BP'!F8</x:f>
        <x:v>13.52832386345733</x:v>
      </x:c>
      <x:c r="F55" s="27" t="n">
        <x:f>C55+D55-E55</x:f>
        <x:v>707.8878693094092</x:v>
      </x:c>
      <x:c r="G55" s="27" t="n">
        <x:f>(C55+F55)/2</x:f>
        <x:v>692.1520312411378</x:v>
      </x:c>
      <x:c r="H55" s="18" t="n">
        <x:f>G55*'Ipotesi BP'!F6</x:f>
        <x:v>54680.010468049884</x:v>
      </x:c>
      <x:c r="I55" s="18" t="n">
        <x:f>G55*'Ipotesi BP'!F7</x:f>
        <x:v>38954.316318251236</x:v>
      </x:c>
      <x:c r="J55" s="18" t="n">
        <x:f>G55*('Ipotesi BP'!F6*(1+'Ipotesi BP'!F34)*'Ipotesi BP'!F35+'Ipotesi BP'!F36)</x:f>
        <x:v>1173.6821993755973</x:v>
      </x:c>
      <x:c r="K55" s="18" t="n">
        <x:f>G55*'Ipotesi BP'!F19+H55*'Ipotesi BP'!F20</x:f>
        <x:v>1931.1041671627745</x:v>
      </x:c>
      <x:c r="L55" s="18" t="n">
        <x:f>D55*'Ipotesi BP'!F18</x:f>
        <x:v>1080</x:v>
      </x:c>
      <x:c r="M55" s="18" t="n">
        <x:f>('Ipotesi BP'!F9+'Ipotesi BP'!F12+'Ipotesi BP'!F14+'Ipotesi BP'!F16)/12</x:f>
        <x:v>5850</x:v>
      </x:c>
      <x:c r="N55" s="18" t="n">
        <x:f>'Ipotesi BP'!F21/12</x:f>
        <x:v>4000</x:v>
      </x:c>
      <x:c r="O55" s="18" t="n">
        <x:f>'Ipotesi BP'!F22*'Ipotesi BP'!F23/12</x:f>
        <x:v>6753</x:v>
      </x:c>
      <x:c r="P55" s="18" t="n">
        <x:f>'Ipotesi BP'!F24/12</x:f>
        <x:v>1500</x:v>
      </x:c>
      <x:c r="Q55" s="18" t="n">
        <x:f>SUM('Ipotesi BP'!F25:F29)/12</x:f>
        <x:v>2183.3333333333335</x:v>
      </x:c>
      <x:c r="R55" s="17" t="n">
        <x:f>0</x:f>
        <x:v>0</x:v>
      </x:c>
      <x:c r="S55" s="17" t="n">
        <x:f>H55-SUM(I55:R55)</x:f>
        <x:v>-8745.425550073058</x:v>
      </x:c>
      <x:c r="T55" s="17" t="n">
        <x:f>SUM(X20:X55)/36</x:f>
        <x:v>69.44444444444444</x:v>
      </x:c>
      <x:c r="U55" s="17" t="n">
        <x:f>S55-T55</x:f>
        <x:v>-8814.869994517503</x:v>
      </x:c>
      <x:c r="V55" s="18" t="n">
        <x:f>MAX(0,U55)*'Ipotesi BP'!F38+MAX(0,U55+N55)*'Ipotesi BP'!F39</x:f>
        <x:v>0</x:v>
      </x:c>
      <x:c r="W55" s="17" t="n">
        <x:f>U55-V55</x:f>
        <x:v>-8814.869994517503</x:v>
      </x:c>
      <x:c r="X55" s="17" t="n">
        <x:f>0</x:f>
        <x:v>0</x:v>
      </x:c>
      <x:c r="Y55" s="18" t="n">
        <x:f>H55*(1+'Ipotesi BP'!F34)*'Ipotesi BP'!F37/30</x:f>
        <x:v>4447.307518068057</x:v>
      </x:c>
      <x:c r="Z55" s="17" t="n">
        <x:f>MAX(0,-AO55)</x:f>
        <x:v>0</x:v>
      </x:c>
      <x:c r="AA55" s="17" t="n">
        <x:f>MAX(0,AO55)</x:f>
        <x:v>886.1724858762686</x:v>
      </x:c>
      <x:c r="AB55" s="17" t="n">
        <x:f>Y55+Z55-AA55-Y54-Z54+AA54</x:f>
        <x:v>-160.64493262976544</x:v>
      </x:c>
      <x:c r="AC55" s="17" t="n">
        <x:f>W55+T55-AB55</x:f>
        <x:v>-8584.780617443292</x:v>
      </x:c>
      <x:c r="AD55" s="17" t="n">
        <x:f>0</x:f>
        <x:v>0</x:v>
      </x:c>
      <x:c r="AE55" s="17" t="n">
        <x:f>0</x:f>
        <x:v>0</x:v>
      </x:c>
      <x:c r="AF55" s="17" t="n">
        <x:f>AF54+AC55-X55+AD55+AE55</x:f>
        <x:v>82956.93900251921</x:v>
      </x:c>
      <x:c r="AG55" s="17" t="n">
        <x:f>AG54+AC55-X55+AD55</x:f>
        <x:v>-257043.0609974808</x:v>
      </x:c>
      <x:c r="AH55" s="17" t="n">
        <x:f>SUM($X$6:X55)-SUM($T$6:T55)</x:f>
        <x:v>1694.4444444444443</x:v>
      </x:c>
      <x:c r="AI55" s="17" t="n">
        <x:f>SUM($W$6:W55)</x:f>
        <x:v>-261787.48152084457</x:v>
      </x:c>
      <x:c r="AJ55" s="17" t="n">
        <x:f>SUM($AD$6:AE55)</x:f>
        <x:v>350000</x:v>
      </x:c>
      <x:c r="AK55" s="17" t="n">
        <x:f>AF55+Y55+Z55+AH55-AA55-AI55-AJ55</x:f>
        <x:v>0</x:v>
      </x:c>
      <x:c r="AL55" s="18" t="n">
        <x:f>G55*'Ipotesi BP'!F40/60+D55*'Ipotesi BP'!F41/60+'Ipotesi BP'!F44</x:f>
        <x:v>154.53693749881836</x:v>
      </x:c>
      <x:c r="AM55" s="18" t="n">
        <x:f>'Ipotesi BP'!F42+'Ipotesi BP'!F22*'Ipotesi BP'!F43</x:f>
        <x:v>280</x:v>
      </x:c>
      <x:c r="AN55" s="17" t="n">
        <x:f>MAX(0,AL55-AM55)</x:f>
        <x:v>0</x:v>
      </x:c>
      <x:c r="AO55" s="18" t="n">
        <x:f>AO54-MAX(0,AO54)+(H55-I55-G55*'Ipotesi BP'!F19-L55-M55-P55-Q55+'Ipotesi BP'!F27/12-X55)*'Ipotesi BP'!F34</x:f>
        <x:v>886.1724858762686</x:v>
      </x:c>
    </x:row>
    <x:row r="56" ht="25" customHeight="1">
      <x:c r="A56" s="17" t="n">
        <x:f>51</x:f>
        <x:v>51</x:v>
      </x:c>
      <x:c r="B56" s="26" t="n">
        <x:f>2031</x:f>
        <x:v>2031</x:v>
      </x:c>
      <x:c r="C56" s="27" t="n">
        <x:f>F55</x:f>
        <x:v>707.8878693094092</x:v>
      </x:c>
      <x:c r="D56" s="28" t="n">
        <x:f>('Ipotesi BP'!F9/'Ipotesi BP'!F10*'Ipotesi BP'!F11+'Ipotesi BP'!F13+'Ipotesi BP'!F15+'Ipotesi BP'!F17)/12*'Ipotesi BP'!F45</x:f>
        <x:v>45</x:v>
      </x:c>
      <x:c r="E56" s="28" t="n">
        <x:f>C56*'Ipotesi BP'!F8</x:f>
        <x:v>14.157757386188184</x:v>
      </x:c>
      <x:c r="F56" s="27" t="n">
        <x:f>C56+D56-E56</x:f>
        <x:v>738.730111923221</x:v>
      </x:c>
      <x:c r="G56" s="27" t="n">
        <x:f>(C56+F56)/2</x:f>
        <x:v>723.3089906163151</x:v>
      </x:c>
      <x:c r="H56" s="18" t="n">
        <x:f>G56*'Ipotesi BP'!F6</x:f>
        <x:v>57141.41025868889</x:v>
      </x:c>
      <x:c r="I56" s="18" t="n">
        <x:f>G56*'Ipotesi BP'!F7</x:f>
        <x:v>40707.82999188622</x:v>
      </x:c>
      <x:c r="J56" s="18" t="n">
        <x:f>G56*('Ipotesi BP'!F6*(1+'Ipotesi BP'!F34)*'Ipotesi BP'!F35+'Ipotesi BP'!F36)</x:f>
        <x:v>1226.5150553880856</x:v>
      </x:c>
      <x:c r="K56" s="18" t="n">
        <x:f>G56*'Ipotesi BP'!F19+H56*'Ipotesi BP'!F20</x:f>
        <x:v>2018.0320838195191</x:v>
      </x:c>
      <x:c r="L56" s="18" t="n">
        <x:f>D56*'Ipotesi BP'!F18</x:f>
        <x:v>1080</x:v>
      </x:c>
      <x:c r="M56" s="18" t="n">
        <x:f>('Ipotesi BP'!F9+'Ipotesi BP'!F12+'Ipotesi BP'!F14+'Ipotesi BP'!F16)/12</x:f>
        <x:v>5850</x:v>
      </x:c>
      <x:c r="N56" s="18" t="n">
        <x:f>'Ipotesi BP'!F21/12</x:f>
        <x:v>4000</x:v>
      </x:c>
      <x:c r="O56" s="18" t="n">
        <x:f>'Ipotesi BP'!F22*'Ipotesi BP'!F23/12</x:f>
        <x:v>6753</x:v>
      </x:c>
      <x:c r="P56" s="18" t="n">
        <x:f>'Ipotesi BP'!F24/12</x:f>
        <x:v>1500</x:v>
      </x:c>
      <x:c r="Q56" s="18" t="n">
        <x:f>SUM('Ipotesi BP'!F25:F29)/12</x:f>
        <x:v>2183.3333333333335</x:v>
      </x:c>
      <x:c r="R56" s="17" t="n">
        <x:f>0</x:f>
        <x:v>0</x:v>
      </x:c>
      <x:c r="S56" s="17" t="n">
        <x:f>H56-SUM(I56:R56)</x:f>
        <x:v>-8177.300205738269</x:v>
      </x:c>
      <x:c r="T56" s="17" t="n">
        <x:f>SUM(X21:X56)/36</x:f>
        <x:v>69.44444444444444</x:v>
      </x:c>
      <x:c r="U56" s="17" t="n">
        <x:f>S56-T56</x:f>
        <x:v>-8246.744650182714</x:v>
      </x:c>
      <x:c r="V56" s="18" t="n">
        <x:f>MAX(0,U56)*'Ipotesi BP'!F38+MAX(0,U56+N56)*'Ipotesi BP'!F39</x:f>
        <x:v>0</x:v>
      </x:c>
      <x:c r="W56" s="17" t="n">
        <x:f>U56-V56</x:f>
        <x:v>-8246.744650182714</x:v>
      </x:c>
      <x:c r="X56" s="17" t="n">
        <x:f>0</x:f>
        <x:v>0</x:v>
      </x:c>
      <x:c r="Y56" s="18" t="n">
        <x:f>H56*(1+'Ipotesi BP'!F34)*'Ipotesi BP'!F37/30</x:f>
        <x:v>4647.501367706697</x:v>
      </x:c>
      <x:c r="Z56" s="17" t="n">
        <x:f>MAX(0,-AO56)</x:f>
        <x:v>0</x:v>
      </x:c>
      <x:c r="AA56" s="17" t="n">
        <x:f>MAX(0,AO56)</x:f>
        <x:v>1028.1983694920762</x:v>
      </x:c>
      <x:c r="AB56" s="17" t="n">
        <x:f>Y56+Z56-AA56-Y55-Z55+AA55</x:f>
        <x:v>58.16796602283239</x:v>
      </x:c>
      <x:c r="AC56" s="17" t="n">
        <x:f>W56+T56-AB56</x:f>
        <x:v>-8235.468171761102</x:v>
      </x:c>
      <x:c r="AD56" s="17" t="n">
        <x:f>0</x:f>
        <x:v>0</x:v>
      </x:c>
      <x:c r="AE56" s="17" t="n">
        <x:f>0</x:f>
        <x:v>0</x:v>
      </x:c>
      <x:c r="AF56" s="17" t="n">
        <x:f>AF55+AC56-X56+AD56+AE56</x:f>
        <x:v>74721.4708307581</x:v>
      </x:c>
      <x:c r="AG56" s="17" t="n">
        <x:f>AG55+AC56-X56+AD56</x:f>
        <x:v>-265278.5291692419</x:v>
      </x:c>
      <x:c r="AH56" s="17" t="n">
        <x:f>SUM($X$6:X56)-SUM($T$6:T56)</x:f>
        <x:v>1625</x:v>
      </x:c>
      <x:c r="AI56" s="17" t="n">
        <x:f>SUM($W$6:W56)</x:f>
        <x:v>-270034.2261710273</x:v>
      </x:c>
      <x:c r="AJ56" s="17" t="n">
        <x:f>SUM($AD$6:AE56)</x:f>
        <x:v>350000</x:v>
      </x:c>
      <x:c r="AK56" s="17" t="n">
        <x:f>AF56+Y56+Z56+AH56-AA56-AI56-AJ56</x:f>
        <x:v>0</x:v>
      </x:c>
      <x:c r="AL56" s="18" t="n">
        <x:f>G56*'Ipotesi BP'!F40/60+D56*'Ipotesi BP'!F41/60+'Ipotesi BP'!F44</x:f>
        <x:v>158.691198748842</x:v>
      </x:c>
      <x:c r="AM56" s="18" t="n">
        <x:f>'Ipotesi BP'!F42+'Ipotesi BP'!F22*'Ipotesi BP'!F43</x:f>
        <x:v>280</x:v>
      </x:c>
      <x:c r="AN56" s="17" t="n">
        <x:f>MAX(0,AL56-AM56)</x:f>
        <x:v>0</x:v>
      </x:c>
      <x:c r="AO56" s="18" t="n">
        <x:f>AO55-MAX(0,AO55)+(H56-I56-G56*'Ipotesi BP'!F19-L56-M56-P56-Q56+'Ipotesi BP'!F27/12-X56)*'Ipotesi BP'!F34</x:f>
        <x:v>1028.1983694920762</x:v>
      </x:c>
    </x:row>
    <x:row r="57" ht="25" customHeight="1">
      <x:c r="A57" s="17" t="n">
        <x:f>52</x:f>
        <x:v>52</x:v>
      </x:c>
      <x:c r="B57" s="26" t="n">
        <x:f>2031</x:f>
        <x:v>2031</x:v>
      </x:c>
      <x:c r="C57" s="27" t="n">
        <x:f>F56</x:f>
        <x:v>738.730111923221</x:v>
      </x:c>
      <x:c r="D57" s="28" t="n">
        <x:f>('Ipotesi BP'!F9/'Ipotesi BP'!F10*'Ipotesi BP'!F11+'Ipotesi BP'!F13+'Ipotesi BP'!F15+'Ipotesi BP'!F17)/12*'Ipotesi BP'!F45</x:f>
        <x:v>45</x:v>
      </x:c>
      <x:c r="E57" s="28" t="n">
        <x:f>C57*'Ipotesi BP'!F8</x:f>
        <x:v>14.77460223846442</x:v>
      </x:c>
      <x:c r="F57" s="27" t="n">
        <x:f>C57+D57-E57</x:f>
        <x:v>768.9555096847565</x:v>
      </x:c>
      <x:c r="G57" s="27" t="n">
        <x:f>(C57+F57)/2</x:f>
        <x:v>753.8428108039888</x:v>
      </x:c>
      <x:c r="H57" s="18" t="n">
        <x:f>G57*'Ipotesi BP'!F6</x:f>
        <x:v>59553.582053515114</x:v>
      </x:c>
      <x:c r="I57" s="18" t="n">
        <x:f>G57*'Ipotesi BP'!F7</x:f>
        <x:v>42426.27339204849</x:v>
      </x:c>
      <x:c r="J57" s="18" t="n">
        <x:f>G57*('Ipotesi BP'!F6*(1+'Ipotesi BP'!F34)*'Ipotesi BP'!F35+'Ipotesi BP'!F36)</x:f>
        <x:v>1278.2912542803238</x:v>
      </x:c>
      <x:c r="K57" s="18" t="n">
        <x:f>G57*'Ipotesi BP'!F19+H57*'Ipotesi BP'!F20</x:f>
        <x:v>2103.2214421431286</x:v>
      </x:c>
      <x:c r="L57" s="18" t="n">
        <x:f>D57*'Ipotesi BP'!F18</x:f>
        <x:v>1080</x:v>
      </x:c>
      <x:c r="M57" s="18" t="n">
        <x:f>('Ipotesi BP'!F9+'Ipotesi BP'!F12+'Ipotesi BP'!F14+'Ipotesi BP'!F16)/12</x:f>
        <x:v>5850</x:v>
      </x:c>
      <x:c r="N57" s="18" t="n">
        <x:f>'Ipotesi BP'!F21/12</x:f>
        <x:v>4000</x:v>
      </x:c>
      <x:c r="O57" s="18" t="n">
        <x:f>'Ipotesi BP'!F22*'Ipotesi BP'!F23/12</x:f>
        <x:v>6753</x:v>
      </x:c>
      <x:c r="P57" s="18" t="n">
        <x:f>'Ipotesi BP'!F24/12</x:f>
        <x:v>1500</x:v>
      </x:c>
      <x:c r="Q57" s="18" t="n">
        <x:f>SUM('Ipotesi BP'!F25:F29)/12</x:f>
        <x:v>2183.3333333333335</x:v>
      </x:c>
      <x:c r="R57" s="17" t="n">
        <x:f>0</x:f>
        <x:v>0</x:v>
      </x:c>
      <x:c r="S57" s="17" t="n">
        <x:f>H57-SUM(I57:R57)</x:f>
        <x:v>-7620.537368290155</x:v>
      </x:c>
      <x:c r="T57" s="17" t="n">
        <x:f>SUM(X22:X57)/36</x:f>
        <x:v>69.44444444444444</x:v>
      </x:c>
      <x:c r="U57" s="17" t="n">
        <x:f>S57-T57</x:f>
        <x:v>-7689.9818127346</x:v>
      </x:c>
      <x:c r="V57" s="18" t="n">
        <x:f>MAX(0,U57)*'Ipotesi BP'!F38+MAX(0,U57+N57)*'Ipotesi BP'!F39</x:f>
        <x:v>0</x:v>
      </x:c>
      <x:c r="W57" s="17" t="n">
        <x:f>U57-V57</x:f>
        <x:v>-7689.9818127346</x:v>
      </x:c>
      <x:c r="X57" s="17" t="n">
        <x:f>0</x:f>
        <x:v>0</x:v>
      </x:c>
      <x:c r="Y57" s="18" t="n">
        <x:f>H57*(1+'Ipotesi BP'!F34)*'Ipotesi BP'!F37/30</x:f>
        <x:v>4843.691340352563</x:v>
      </x:c>
      <x:c r="Z57" s="17" t="n">
        <x:f>MAX(0,-AO57)</x:f>
        <x:v>0</x:v>
      </x:c>
      <x:c r="AA57" s="17" t="n">
        <x:f>MAX(0,AO57)</x:f>
        <x:v>1167.3837354355687</x:v>
      </x:c>
      <x:c r="AB57" s="17" t="n">
        <x:f>Y57+Z57-AA57-Y56-Z56+AA56</x:f>
        <x:v>57.004606702373394</x:v>
      </x:c>
      <x:c r="AC57" s="17" t="n">
        <x:f>W57+T57-AB57</x:f>
        <x:v>-7677.541974992529</x:v>
      </x:c>
      <x:c r="AD57" s="17" t="n">
        <x:f>0</x:f>
        <x:v>0</x:v>
      </x:c>
      <x:c r="AE57" s="17" t="n">
        <x:f>0</x:f>
        <x:v>0</x:v>
      </x:c>
      <x:c r="AF57" s="17" t="n">
        <x:f>AF56+AC57-X57+AD57+AE57</x:f>
        <x:v>67043.92885576557</x:v>
      </x:c>
      <x:c r="AG57" s="17" t="n">
        <x:f>AG56+AC57-X57+AD57</x:f>
        <x:v>-272956.07114423445</x:v>
      </x:c>
      <x:c r="AH57" s="17" t="n">
        <x:f>SUM($X$6:X57)-SUM($T$6:T57)</x:f>
        <x:v>1555.5555555555557</x:v>
      </x:c>
      <x:c r="AI57" s="17" t="n">
        <x:f>SUM($W$6:W57)</x:f>
        <x:v>-277724.2079837619</x:v>
      </x:c>
      <x:c r="AJ57" s="17" t="n">
        <x:f>SUM($AD$6:AE57)</x:f>
        <x:v>350000</x:v>
      </x:c>
      <x:c r="AK57" s="17" t="n">
        <x:f>AF57+Y57+Z57+AH57-AA57-AI57-AJ57</x:f>
        <x:v>5.820766091346741e-11</x:v>
      </x:c>
      <x:c r="AL57" s="18" t="n">
        <x:f>G57*'Ipotesi BP'!F40/60+D57*'Ipotesi BP'!F41/60+'Ipotesi BP'!F44</x:f>
        <x:v>162.76237477386516</x:v>
      </x:c>
      <x:c r="AM57" s="18" t="n">
        <x:f>'Ipotesi BP'!F42+'Ipotesi BP'!F22*'Ipotesi BP'!F43</x:f>
        <x:v>280</x:v>
      </x:c>
      <x:c r="AN57" s="17" t="n">
        <x:f>MAX(0,AL57-AM57)</x:f>
        <x:v>0</x:v>
      </x:c>
      <x:c r="AO57" s="18" t="n">
        <x:f>AO56-MAX(0,AO56)+(H57-I57-G57*'Ipotesi BP'!F19-L57-M57-P57-Q57+'Ipotesi BP'!F27/12-X57)*'Ipotesi BP'!F34</x:f>
        <x:v>1167.3837354355687</x:v>
      </x:c>
    </x:row>
    <x:row r="58" ht="25" customHeight="1">
      <x:c r="A58" s="17" t="n">
        <x:f>53</x:f>
        <x:v>53</x:v>
      </x:c>
      <x:c r="B58" s="26" t="n">
        <x:f>2031</x:f>
        <x:v>2031</x:v>
      </x:c>
      <x:c r="C58" s="27" t="n">
        <x:f>F57</x:f>
        <x:v>768.9555096847565</x:v>
      </x:c>
      <x:c r="D58" s="28" t="n">
        <x:f>('Ipotesi BP'!F9/'Ipotesi BP'!F10*'Ipotesi BP'!F11+'Ipotesi BP'!F13+'Ipotesi BP'!F15+'Ipotesi BP'!F17)/12*'Ipotesi BP'!F45</x:f>
        <x:v>45</x:v>
      </x:c>
      <x:c r="E58" s="28" t="n">
        <x:f>C58*'Ipotesi BP'!F8</x:f>
        <x:v>15.37911019369513</x:v>
      </x:c>
      <x:c r="F58" s="27" t="n">
        <x:f>C58+D58-E58</x:f>
        <x:v>798.5763994910614</x:v>
      </x:c>
      <x:c r="G58" s="27" t="n">
        <x:f>(C58+F58)/2</x:f>
        <x:v>783.7659545879089</x:v>
      </x:c>
      <x:c r="H58" s="18" t="n">
        <x:f>G58*'Ipotesi BP'!F6</x:f>
        <x:v>61917.510412444804</x:v>
      </x:c>
      <x:c r="I58" s="18" t="n">
        <x:f>G58*'Ipotesi BP'!F7</x:f>
        <x:v>44110.34792420752</x:v>
      </x:c>
      <x:c r="J58" s="18" t="n">
        <x:f>G58*('Ipotesi BP'!F6*(1+'Ipotesi BP'!F34)*'Ipotesi BP'!F35+'Ipotesi BP'!F36)</x:f>
        <x:v>1329.0319291947171</x:v>
      </x:c>
      <x:c r="K58" s="18" t="n">
        <x:f>G58*'Ipotesi BP'!F19+H58*'Ipotesi BP'!F20</x:f>
        <x:v>2186.7070133002658</x:v>
      </x:c>
      <x:c r="L58" s="18" t="n">
        <x:f>D58*'Ipotesi BP'!F18</x:f>
        <x:v>1080</x:v>
      </x:c>
      <x:c r="M58" s="18" t="n">
        <x:f>('Ipotesi BP'!F9+'Ipotesi BP'!F12+'Ipotesi BP'!F14+'Ipotesi BP'!F16)/12</x:f>
        <x:v>5850</x:v>
      </x:c>
      <x:c r="N58" s="18" t="n">
        <x:f>'Ipotesi BP'!F21/12</x:f>
        <x:v>4000</x:v>
      </x:c>
      <x:c r="O58" s="18" t="n">
        <x:f>'Ipotesi BP'!F22*'Ipotesi BP'!F23/12</x:f>
        <x:v>6753</x:v>
      </x:c>
      <x:c r="P58" s="18" t="n">
        <x:f>'Ipotesi BP'!F24/12</x:f>
        <x:v>1500</x:v>
      </x:c>
      <x:c r="Q58" s="18" t="n">
        <x:f>SUM('Ipotesi BP'!F25:F29)/12</x:f>
        <x:v>2183.3333333333335</x:v>
      </x:c>
      <x:c r="R58" s="17" t="n">
        <x:f>0</x:f>
        <x:v>0</x:v>
      </x:c>
      <x:c r="S58" s="17" t="n">
        <x:f>H58-SUM(I58:R58)</x:f>
        <x:v>-7074.90978759103</x:v>
      </x:c>
      <x:c r="T58" s="17" t="n">
        <x:f>SUM(X23:X58)/36</x:f>
        <x:v>69.44444444444444</x:v>
      </x:c>
      <x:c r="U58" s="17" t="n">
        <x:f>S58-T58</x:f>
        <x:v>-7144.3542320354745</x:v>
      </x:c>
      <x:c r="V58" s="18" t="n">
        <x:f>MAX(0,U58)*'Ipotesi BP'!F38+MAX(0,U58+N58)*'Ipotesi BP'!F39</x:f>
        <x:v>0</x:v>
      </x:c>
      <x:c r="W58" s="17" t="n">
        <x:f>U58-V58</x:f>
        <x:v>-7144.3542320354745</x:v>
      </x:c>
      <x:c r="X58" s="17" t="n">
        <x:f>0</x:f>
        <x:v>0</x:v>
      </x:c>
      <x:c r="Y58" s="18" t="n">
        <x:f>H58*(1+'Ipotesi BP'!F34)*'Ipotesi BP'!F37/30</x:f>
        <x:v>5035.957513545511</x:v>
      </x:c>
      <x:c r="Z58" s="17" t="n">
        <x:f>MAX(0,-AO58)</x:f>
        <x:v>0</x:v>
      </x:c>
      <x:c r="AA58" s="17" t="n">
        <x:f>MAX(0,AO58)</x:f>
        <x:v>1303.7853940601894</x:v>
      </x:c>
      <x:c r="AB58" s="17" t="n">
        <x:f>Y58+Z58-AA58-Y57-Z57+AA57</x:f>
        <x:v>55.86451456832674</x:v>
      </x:c>
      <x:c r="AC58" s="17" t="n">
        <x:f>W58+T58-AB58</x:f>
        <x:v>-7130.774302159357</x:v>
      </x:c>
      <x:c r="AD58" s="17" t="n">
        <x:f>0</x:f>
        <x:v>0</x:v>
      </x:c>
      <x:c r="AE58" s="17" t="n">
        <x:f>0</x:f>
        <x:v>0</x:v>
      </x:c>
      <x:c r="AF58" s="17" t="n">
        <x:f>AF57+AC58-X58+AD58+AE58</x:f>
        <x:v>59913.15455360621</x:v>
      </x:c>
      <x:c r="AG58" s="17" t="n">
        <x:f>AG57+AC58-X58+AD58</x:f>
        <x:v>-280086.8454463938</x:v>
      </x:c>
      <x:c r="AH58" s="17" t="n">
        <x:f>SUM($X$6:X58)-SUM($T$6:T58)</x:f>
        <x:v>1486.1111111111113</x:v>
      </x:c>
      <x:c r="AI58" s="17" t="n">
        <x:f>SUM($W$6:W58)</x:f>
        <x:v>-284868.56221579737</x:v>
      </x:c>
      <x:c r="AJ58" s="17" t="n">
        <x:f>SUM($AD$6:AE58)</x:f>
        <x:v>350000</x:v>
      </x:c>
      <x:c r="AK58" s="17" t="n">
        <x:f>AF58+Y58+Z58+AH58-AA58-AI58-AJ58</x:f>
        <x:v>0</x:v>
      </x:c>
      <x:c r="AL58" s="18" t="n">
        <x:f>G58*'Ipotesi BP'!F40/60+D58*'Ipotesi BP'!F41/60+'Ipotesi BP'!F44</x:f>
        <x:v>166.75212727838786</x:v>
      </x:c>
      <x:c r="AM58" s="18" t="n">
        <x:f>'Ipotesi BP'!F42+'Ipotesi BP'!F22*'Ipotesi BP'!F43</x:f>
        <x:v>280</x:v>
      </x:c>
      <x:c r="AN58" s="17" t="n">
        <x:f>MAX(0,AL58-AM58)</x:f>
        <x:v>0</x:v>
      </x:c>
      <x:c r="AO58" s="18" t="n">
        <x:f>AO57-MAX(0,AO57)+(H58-I58-G58*'Ipotesi BP'!F19-L58-M58-P58-Q58+'Ipotesi BP'!F27/12-X58)*'Ipotesi BP'!F34</x:f>
        <x:v>1303.7853940601894</x:v>
      </x:c>
    </x:row>
    <x:row r="59" ht="25" customHeight="1">
      <x:c r="A59" s="17" t="n">
        <x:f>54</x:f>
        <x:v>54</x:v>
      </x:c>
      <x:c r="B59" s="26" t="n">
        <x:f>2031</x:f>
        <x:v>2031</x:v>
      </x:c>
      <x:c r="C59" s="27" t="n">
        <x:f>F58</x:f>
        <x:v>798.5763994910614</x:v>
      </x:c>
      <x:c r="D59" s="28" t="n">
        <x:f>('Ipotesi BP'!F9/'Ipotesi BP'!F10*'Ipotesi BP'!F11+'Ipotesi BP'!F13+'Ipotesi BP'!F15+'Ipotesi BP'!F17)/12*'Ipotesi BP'!F45</x:f>
        <x:v>45</x:v>
      </x:c>
      <x:c r="E59" s="28" t="n">
        <x:f>C59*'Ipotesi BP'!F8</x:f>
        <x:v>15.971527989821228</x:v>
      </x:c>
      <x:c r="F59" s="27" t="n">
        <x:f>C59+D59-E59</x:f>
        <x:v>827.6048715012402</x:v>
      </x:c>
      <x:c r="G59" s="27" t="n">
        <x:f>(C59+F59)/2</x:f>
        <x:v>813.0906354961508</x:v>
      </x:c>
      <x:c r="H59" s="18" t="n">
        <x:f>G59*'Ipotesi BP'!F6</x:f>
        <x:v>64234.16020419591</x:v>
      </x:c>
      <x:c r="I59" s="18" t="n">
        <x:f>G59*'Ipotesi BP'!F7</x:f>
        <x:v>45760.740965723366</x:v>
      </x:c>
      <x:c r="J59" s="18" t="n">
        <x:f>G59*('Ipotesi BP'!F6*(1+'Ipotesi BP'!F34)*'Ipotesi BP'!F35+'Ipotesi BP'!F36)</x:f>
        <x:v>1378.757790610823</x:v>
      </x:c>
      <x:c r="K59" s="18" t="n">
        <x:f>G59*'Ipotesi BP'!F19+H59*'Ipotesi BP'!F20</x:f>
        <x:v>2268.5228730342606</x:v>
      </x:c>
      <x:c r="L59" s="18" t="n">
        <x:f>D59*'Ipotesi BP'!F18</x:f>
        <x:v>1080</x:v>
      </x:c>
      <x:c r="M59" s="18" t="n">
        <x:f>('Ipotesi BP'!F9+'Ipotesi BP'!F12+'Ipotesi BP'!F14+'Ipotesi BP'!F16)/12</x:f>
        <x:v>5850</x:v>
      </x:c>
      <x:c r="N59" s="18" t="n">
        <x:f>'Ipotesi BP'!F21/12</x:f>
        <x:v>4000</x:v>
      </x:c>
      <x:c r="O59" s="18" t="n">
        <x:f>'Ipotesi BP'!F22*'Ipotesi BP'!F23/12</x:f>
        <x:v>6753</x:v>
      </x:c>
      <x:c r="P59" s="18" t="n">
        <x:f>'Ipotesi BP'!F24/12</x:f>
        <x:v>1500</x:v>
      </x:c>
      <x:c r="Q59" s="18" t="n">
        <x:f>SUM('Ipotesi BP'!F25:F29)/12</x:f>
        <x:v>2183.3333333333335</x:v>
      </x:c>
      <x:c r="R59" s="17" t="n">
        <x:f>0</x:f>
        <x:v>0</x:v>
      </x:c>
      <x:c r="S59" s="17" t="n">
        <x:f>H59-SUM(I59:R59)</x:f>
        <x:v>-6540.194758505866</x:v>
      </x:c>
      <x:c r="T59" s="17" t="n">
        <x:f>SUM(X24:X59)/36</x:f>
        <x:v>69.44444444444444</x:v>
      </x:c>
      <x:c r="U59" s="17" t="n">
        <x:f>S59-T59</x:f>
        <x:v>-6609.63920295031</x:v>
      </x:c>
      <x:c r="V59" s="18" t="n">
        <x:f>MAX(0,U59)*'Ipotesi BP'!F38+MAX(0,U59+N59)*'Ipotesi BP'!F39</x:f>
        <x:v>0</x:v>
      </x:c>
      <x:c r="W59" s="17" t="n">
        <x:f>U59-V59</x:f>
        <x:v>-6609.63920295031</x:v>
      </x:c>
      <x:c r="X59" s="17" t="n">
        <x:f>0</x:f>
        <x:v>0</x:v>
      </x:c>
      <x:c r="Y59" s="18" t="n">
        <x:f>H59*(1+'Ipotesi BP'!F34)*'Ipotesi BP'!F37/30</x:f>
        <x:v>5224.378363274601</x:v>
      </x:c>
      <x:c r="Z59" s="17" t="n">
        <x:f>MAX(0,-AO59)</x:f>
        <x:v>0</x:v>
      </x:c>
      <x:c r="AA59" s="17" t="n">
        <x:f>MAX(0,AO59)</x:f>
        <x:v>1437.45901951232</x:v>
      </x:c>
      <x:c r="AB59" s="17" t="n">
        <x:f>Y59+Z59-AA59-Y58-Z58+AA58</x:f>
        <x:v>54.747224276959514</x:v>
      </x:c>
      <x:c r="AC59" s="17" t="n">
        <x:f>W59+T59-AB59</x:f>
        <x:v>-6594.941982782826</x:v>
      </x:c>
      <x:c r="AD59" s="17" t="n">
        <x:f>0</x:f>
        <x:v>0</x:v>
      </x:c>
      <x:c r="AE59" s="17" t="n">
        <x:f>0</x:f>
        <x:v>0</x:v>
      </x:c>
      <x:c r="AF59" s="17" t="n">
        <x:f>AF58+AC59-X59+AD59+AE59</x:f>
        <x:v>53318.21257082339</x:v>
      </x:c>
      <x:c r="AG59" s="17" t="n">
        <x:f>AG58+AC59-X59+AD59</x:f>
        <x:v>-286681.7874291767</x:v>
      </x:c>
      <x:c r="AH59" s="17" t="n">
        <x:f>SUM($X$6:X59)-SUM($T$6:T59)</x:f>
        <x:v>1416.666666666667</x:v>
      </x:c>
      <x:c r="AI59" s="17" t="n">
        <x:f>SUM($W$6:W59)</x:f>
        <x:v>-291478.20141874766</x:v>
      </x:c>
      <x:c r="AJ59" s="17" t="n">
        <x:f>SUM($AD$6:AE59)</x:f>
        <x:v>350000</x:v>
      </x:c>
      <x:c r="AK59" s="17" t="n">
        <x:f>AF59+Y59+Z59+AH59-AA59-AI59-AJ59</x:f>
        <x:v>0</x:v>
      </x:c>
      <x:c r="AL59" s="18" t="n">
        <x:f>G59*'Ipotesi BP'!F40/60+D59*'Ipotesi BP'!F41/60+'Ipotesi BP'!F44</x:f>
        <x:v>170.66208473282012</x:v>
      </x:c>
      <x:c r="AM59" s="18" t="n">
        <x:f>'Ipotesi BP'!F42+'Ipotesi BP'!F22*'Ipotesi BP'!F43</x:f>
        <x:v>280</x:v>
      </x:c>
      <x:c r="AN59" s="17" t="n">
        <x:f>MAX(0,AL59-AM59)</x:f>
        <x:v>0</x:v>
      </x:c>
      <x:c r="AO59" s="18" t="n">
        <x:f>AO58-MAX(0,AO58)+(H59-I59-G59*'Ipotesi BP'!F19-L59-M59-P59-Q59+'Ipotesi BP'!F27/12-X59)*'Ipotesi BP'!F34</x:f>
        <x:v>1437.45901951232</x:v>
      </x:c>
    </x:row>
    <x:row r="60" ht="25" customHeight="1">
      <x:c r="A60" s="17" t="n">
        <x:f>55</x:f>
        <x:v>55</x:v>
      </x:c>
      <x:c r="B60" s="26" t="n">
        <x:f>2031</x:f>
        <x:v>2031</x:v>
      </x:c>
      <x:c r="C60" s="27" t="n">
        <x:f>F59</x:f>
        <x:v>827.6048715012402</x:v>
      </x:c>
      <x:c r="D60" s="28" t="n">
        <x:f>('Ipotesi BP'!F9/'Ipotesi BP'!F10*'Ipotesi BP'!F11+'Ipotesi BP'!F13+'Ipotesi BP'!F15+'Ipotesi BP'!F17)/12*'Ipotesi BP'!F45</x:f>
        <x:v>45</x:v>
      </x:c>
      <x:c r="E60" s="28" t="n">
        <x:f>C60*'Ipotesi BP'!F8</x:f>
        <x:v>16.552097430024805</x:v>
      </x:c>
      <x:c r="F60" s="27" t="n">
        <x:f>C60+D60-E60</x:f>
        <x:v>856.0527740712154</x:v>
      </x:c>
      <x:c r="G60" s="27" t="n">
        <x:f>(C60+F60)/2</x:f>
        <x:v>841.8288227862278</x:v>
      </x:c>
      <x:c r="H60" s="18" t="n">
        <x:f>G60*'Ipotesi BP'!F6</x:f>
        <x:v>66504.47700011199</x:v>
      </x:c>
      <x:c r="I60" s="18" t="n">
        <x:f>G60*'Ipotesi BP'!F7</x:f>
        <x:v>47378.1261464089</x:v>
      </x:c>
      <x:c r="J60" s="18" t="n">
        <x:f>G60*('Ipotesi BP'!F6*(1+'Ipotesi BP'!F34)*'Ipotesi BP'!F35+'Ipotesi BP'!F36)</x:f>
        <x:v>1427.4891347986063</x:v>
      </x:c>
      <x:c r="K60" s="18" t="n">
        <x:f>G60*'Ipotesi BP'!F19+H60*'Ipotesi BP'!F20</x:f>
        <x:v>2348.7024155735753</x:v>
      </x:c>
      <x:c r="L60" s="18" t="n">
        <x:f>D60*'Ipotesi BP'!F18</x:f>
        <x:v>1080</x:v>
      </x:c>
      <x:c r="M60" s="18" t="n">
        <x:f>('Ipotesi BP'!F9+'Ipotesi BP'!F12+'Ipotesi BP'!F14+'Ipotesi BP'!F16)/12</x:f>
        <x:v>5850</x:v>
      </x:c>
      <x:c r="N60" s="18" t="n">
        <x:f>'Ipotesi BP'!F21/12</x:f>
        <x:v>4000</x:v>
      </x:c>
      <x:c r="O60" s="18" t="n">
        <x:f>'Ipotesi BP'!F22*'Ipotesi BP'!F23/12</x:f>
        <x:v>6753</x:v>
      </x:c>
      <x:c r="P60" s="18" t="n">
        <x:f>'Ipotesi BP'!F24/12</x:f>
        <x:v>1500</x:v>
      </x:c>
      <x:c r="Q60" s="18" t="n">
        <x:f>SUM('Ipotesi BP'!F25:F29)/12</x:f>
        <x:v>2183.3333333333335</x:v>
      </x:c>
      <x:c r="R60" s="17" t="n">
        <x:f>0</x:f>
        <x:v>0</x:v>
      </x:c>
      <x:c r="S60" s="17" t="n">
        <x:f>H60-SUM(I60:R60)</x:f>
        <x:v>-6016.17403000241</x:v>
      </x:c>
      <x:c r="T60" s="17" t="n">
        <x:f>SUM(X25:X60)/36</x:f>
        <x:v>69.44444444444444</x:v>
      </x:c>
      <x:c r="U60" s="17" t="n">
        <x:f>S60-T60</x:f>
        <x:v>-6085.618474446855</x:v>
      </x:c>
      <x:c r="V60" s="18" t="n">
        <x:f>MAX(0,U60)*'Ipotesi BP'!F38+MAX(0,U60+N60)*'Ipotesi BP'!F39</x:f>
        <x:v>0</x:v>
      </x:c>
      <x:c r="W60" s="17" t="n">
        <x:f>U60-V60</x:f>
        <x:v>-6085.618474446855</x:v>
      </x:c>
      <x:c r="X60" s="17" t="n">
        <x:f>0</x:f>
        <x:v>0</x:v>
      </x:c>
      <x:c r="Y60" s="18" t="n">
        <x:f>H60*(1+'Ipotesi BP'!F34)*'Ipotesi BP'!F37/30</x:f>
        <x:v>5409.030796009108</x:v>
      </x:c>
      <x:c r="Z60" s="17" t="n">
        <x:f>MAX(0,-AO60)</x:f>
        <x:v>0</x:v>
      </x:c>
      <x:c r="AA60" s="17" t="n">
        <x:f>MAX(0,AO60)</x:f>
        <x:v>1568.4591724554066</x:v>
      </x:c>
      <x:c r="AB60" s="17" t="n">
        <x:f>Y60+Z60-AA60-Y59-Z59+AA59</x:f>
        <x:v>53.65227979142037</x:v>
      </x:c>
      <x:c r="AC60" s="17" t="n">
        <x:f>W60+T60-AB60</x:f>
        <x:v>-6069.826309793831</x:v>
      </x:c>
      <x:c r="AD60" s="17" t="n">
        <x:f>0</x:f>
        <x:v>0</x:v>
      </x:c>
      <x:c r="AE60" s="17" t="n">
        <x:f>0</x:f>
        <x:v>0</x:v>
      </x:c>
      <x:c r="AF60" s="17" t="n">
        <x:f>AF59+AC60-X60+AD60+AE60</x:f>
        <x:v>47248.386261029555</x:v>
      </x:c>
      <x:c r="AG60" s="17" t="n">
        <x:f>AG59+AC60-X60+AD60</x:f>
        <x:v>-292751.6137389705</x:v>
      </x:c>
      <x:c r="AH60" s="17" t="n">
        <x:f>SUM($X$6:X60)-SUM($T$6:T60)</x:f>
        <x:v>1347.2222222222226</x:v>
      </x:c>
      <x:c r="AI60" s="17" t="n">
        <x:f>SUM($W$6:W60)</x:f>
        <x:v>-297563.81989319454</x:v>
      </x:c>
      <x:c r="AJ60" s="17" t="n">
        <x:f>SUM($AD$6:AE60)</x:f>
        <x:v>350000</x:v>
      </x:c>
      <x:c r="AK60" s="17" t="n">
        <x:f>AF60+Y60+Z60+AH60-AA60-AI60-AJ60</x:f>
        <x:v>0</x:v>
      </x:c>
      <x:c r="AL60" s="18" t="n">
        <x:f>G60*'Ipotesi BP'!F40/60+D60*'Ipotesi BP'!F41/60+'Ipotesi BP'!F44</x:f>
        <x:v>174.4938430381637</x:v>
      </x:c>
      <x:c r="AM60" s="18" t="n">
        <x:f>'Ipotesi BP'!F42+'Ipotesi BP'!F22*'Ipotesi BP'!F43</x:f>
        <x:v>280</x:v>
      </x:c>
      <x:c r="AN60" s="17" t="n">
        <x:f>MAX(0,AL60-AM60)</x:f>
        <x:v>0</x:v>
      </x:c>
      <x:c r="AO60" s="18" t="n">
        <x:f>AO59-MAX(0,AO59)+(H60-I60-G60*'Ipotesi BP'!F19-L60-M60-P60-Q60+'Ipotesi BP'!F27/12-X60)*'Ipotesi BP'!F34</x:f>
        <x:v>1568.4591724554066</x:v>
      </x:c>
    </x:row>
    <x:row r="61" ht="25" customHeight="1">
      <x:c r="A61" s="17" t="n">
        <x:f>56</x:f>
        <x:v>56</x:v>
      </x:c>
      <x:c r="B61" s="26" t="n">
        <x:f>2031</x:f>
        <x:v>2031</x:v>
      </x:c>
      <x:c r="C61" s="27" t="n">
        <x:f>F60</x:f>
        <x:v>856.0527740712154</x:v>
      </x:c>
      <x:c r="D61" s="28" t="n">
        <x:f>('Ipotesi BP'!F9/'Ipotesi BP'!F10*'Ipotesi BP'!F11+'Ipotesi BP'!F13+'Ipotesi BP'!F15+'Ipotesi BP'!F17)/12*'Ipotesi BP'!F45</x:f>
        <x:v>45</x:v>
      </x:c>
      <x:c r="E61" s="28" t="n">
        <x:f>C61*'Ipotesi BP'!F8</x:f>
        <x:v>17.121055481424307</x:v>
      </x:c>
      <x:c r="F61" s="27" t="n">
        <x:f>C61+D61-E61</x:f>
        <x:v>883.9317185897911</x:v>
      </x:c>
      <x:c r="G61" s="27" t="n">
        <x:f>(C61+F61)/2</x:f>
        <x:v>869.9922463305032</x:v>
      </x:c>
      <x:c r="H61" s="18" t="n">
        <x:f>G61*'Ipotesi BP'!F6</x:f>
        <x:v>68729.38746010975</x:v>
      </x:c>
      <x:c r="I61" s="18" t="n">
        <x:f>G61*'Ipotesi BP'!F7</x:f>
        <x:v>48963.16362348072</x:v>
      </x:c>
      <x:c r="J61" s="18" t="n">
        <x:f>G61*('Ipotesi BP'!F6*(1+'Ipotesi BP'!F34)*'Ipotesi BP'!F35+'Ipotesi BP'!F36)</x:f>
        <x:v>1475.2458521026342</x:v>
      </x:c>
      <x:c r="K61" s="18" t="n">
        <x:f>G61*'Ipotesi BP'!F19+H61*'Ipotesi BP'!F20</x:f>
        <x:v>2427.278367262104</x:v>
      </x:c>
      <x:c r="L61" s="18" t="n">
        <x:f>D61*'Ipotesi BP'!F18</x:f>
        <x:v>1080</x:v>
      </x:c>
      <x:c r="M61" s="18" t="n">
        <x:f>('Ipotesi BP'!F9+'Ipotesi BP'!F12+'Ipotesi BP'!F14+'Ipotesi BP'!F16)/12</x:f>
        <x:v>5850</x:v>
      </x:c>
      <x:c r="N61" s="18" t="n">
        <x:f>'Ipotesi BP'!F21/12</x:f>
        <x:v>4000</x:v>
      </x:c>
      <x:c r="O61" s="18" t="n">
        <x:f>'Ipotesi BP'!F22*'Ipotesi BP'!F23/12</x:f>
        <x:v>6753</x:v>
      </x:c>
      <x:c r="P61" s="18" t="n">
        <x:f>'Ipotesi BP'!F24/12</x:f>
        <x:v>1500</x:v>
      </x:c>
      <x:c r="Q61" s="18" t="n">
        <x:f>SUM('Ipotesi BP'!F25:F29)/12</x:f>
        <x:v>2183.3333333333335</x:v>
      </x:c>
      <x:c r="R61" s="17" t="n">
        <x:f>0</x:f>
        <x:v>0</x:v>
      </x:c>
      <x:c r="S61" s="17" t="n">
        <x:f>H61-SUM(I61:R61)</x:f>
        <x:v>-5502.633716069031</x:v>
      </x:c>
      <x:c r="T61" s="17" t="n">
        <x:f>SUM(X26:X61)/36</x:f>
        <x:v>69.44444444444444</x:v>
      </x:c>
      <x:c r="U61" s="17" t="n">
        <x:f>S61-T61</x:f>
        <x:v>-5572.078160513475</x:v>
      </x:c>
      <x:c r="V61" s="18" t="n">
        <x:f>MAX(0,U61)*'Ipotesi BP'!F38+MAX(0,U61+N61)*'Ipotesi BP'!F39</x:f>
        <x:v>0</x:v>
      </x:c>
      <x:c r="W61" s="17" t="n">
        <x:f>U61-V61</x:f>
        <x:v>-5572.078160513475</x:v>
      </x:c>
      <x:c r="X61" s="17" t="n">
        <x:f>0</x:f>
        <x:v>0</x:v>
      </x:c>
      <x:c r="Y61" s="18" t="n">
        <x:f>H61*(1+'Ipotesi BP'!F34)*'Ipotesi BP'!F37/30</x:f>
        <x:v>5589.990180088926</x:v>
      </x:c>
      <x:c r="Z61" s="17" t="n">
        <x:f>MAX(0,-AO61)</x:f>
        <x:v>0</x:v>
      </x:c>
      <x:c r="AA61" s="17" t="n">
        <x:f>MAX(0,AO61)</x:f>
        <x:v>1696.8393223396308</x:v>
      </x:c>
      <x:c r="AB61" s="17" t="n">
        <x:f>Y61+Z61-AA61-Y60-Z60+AA60</x:f>
        <x:v>52.579234195593926</x:v>
      </x:c>
      <x:c r="AC61" s="17" t="n">
        <x:f>W61+T61-AB61</x:f>
        <x:v>-5555.212950264625</x:v>
      </x:c>
      <x:c r="AD61" s="17" t="n">
        <x:f>0</x:f>
        <x:v>0</x:v>
      </x:c>
      <x:c r="AE61" s="17" t="n">
        <x:f>0</x:f>
        <x:v>0</x:v>
      </x:c>
      <x:c r="AF61" s="17" t="n">
        <x:f>AF60+AC61-X61+AD61+AE61</x:f>
        <x:v>41693.17331076493</x:v>
      </x:c>
      <x:c r="AG61" s="17" t="n">
        <x:f>AG60+AC61-X61+AD61</x:f>
        <x:v>-298306.8266892351</x:v>
      </x:c>
      <x:c r="AH61" s="17" t="n">
        <x:f>SUM($X$6:X61)-SUM($T$6:T61)</x:f>
        <x:v>1277.7777777777783</x:v>
      </x:c>
      <x:c r="AI61" s="17" t="n">
        <x:f>SUM($W$6:W61)</x:f>
        <x:v>-303135.898053708</x:v>
      </x:c>
      <x:c r="AJ61" s="17" t="n">
        <x:f>SUM($AD$6:AE61)</x:f>
        <x:v>350000</x:v>
      </x:c>
      <x:c r="AK61" s="17" t="n">
        <x:f>AF61+Y61+Z61+AH61-AA61-AI61-AJ61</x:f>
        <x:v>0</x:v>
      </x:c>
      <x:c r="AL61" s="18" t="n">
        <x:f>G61*'Ipotesi BP'!F40/60+D61*'Ipotesi BP'!F41/60+'Ipotesi BP'!F44</x:f>
        <x:v>178.24896617740043</x:v>
      </x:c>
      <x:c r="AM61" s="18" t="n">
        <x:f>'Ipotesi BP'!F42+'Ipotesi BP'!F22*'Ipotesi BP'!F43</x:f>
        <x:v>280</x:v>
      </x:c>
      <x:c r="AN61" s="17" t="n">
        <x:f>MAX(0,AL61-AM61)</x:f>
        <x:v>0</x:v>
      </x:c>
      <x:c r="AO61" s="18" t="n">
        <x:f>AO60-MAX(0,AO60)+(H61-I61-G61*'Ipotesi BP'!F19-L61-M61-P61-Q61+'Ipotesi BP'!F27/12-X61)*'Ipotesi BP'!F34</x:f>
        <x:v>1696.8393223396308</x:v>
      </x:c>
    </x:row>
    <x:row r="62" ht="25" customHeight="1">
      <x:c r="A62" s="17" t="n">
        <x:f>57</x:f>
        <x:v>57</x:v>
      </x:c>
      <x:c r="B62" s="26" t="n">
        <x:f>2031</x:f>
        <x:v>2031</x:v>
      </x:c>
      <x:c r="C62" s="27" t="n">
        <x:f>F61</x:f>
        <x:v>883.9317185897911</x:v>
      </x:c>
      <x:c r="D62" s="28" t="n">
        <x:f>('Ipotesi BP'!F9/'Ipotesi BP'!F10*'Ipotesi BP'!F11+'Ipotesi BP'!F13+'Ipotesi BP'!F15+'Ipotesi BP'!F17)/12*'Ipotesi BP'!F45</x:f>
        <x:v>45</x:v>
      </x:c>
      <x:c r="E62" s="28" t="n">
        <x:f>C62*'Ipotesi BP'!F8</x:f>
        <x:v>17.678634371795823</x:v>
      </x:c>
      <x:c r="F62" s="27" t="n">
        <x:f>C62+D62-E62</x:f>
        <x:v>911.2530842179953</x:v>
      </x:c>
      <x:c r="G62" s="27" t="n">
        <x:f>(C62+F62)/2</x:f>
        <x:v>897.5924014038932</x:v>
      </x:c>
      <x:c r="H62" s="18" t="n">
        <x:f>G62*'Ipotesi BP'!F6</x:f>
        <x:v>70909.79971090757</x:v>
      </x:c>
      <x:c r="I62" s="18" t="n">
        <x:f>G62*'Ipotesi BP'!F7</x:f>
        <x:v>50516.500351011106</x:v>
      </x:c>
      <x:c r="J62" s="18" t="n">
        <x:f>G62*('Ipotesi BP'!F6*(1+'Ipotesi BP'!F34)*'Ipotesi BP'!F35+'Ipotesi BP'!F36)</x:f>
        <x:v>1522.0474350605816</x:v>
      </x:c>
      <x:c r="K62" s="18" t="n">
        <x:f>G62*'Ipotesi BP'!F19+H62*'Ipotesi BP'!F20</x:f>
        <x:v>2504.282799916862</x:v>
      </x:c>
      <x:c r="L62" s="18" t="n">
        <x:f>D62*'Ipotesi BP'!F18</x:f>
        <x:v>1080</x:v>
      </x:c>
      <x:c r="M62" s="18" t="n">
        <x:f>('Ipotesi BP'!F9+'Ipotesi BP'!F12+'Ipotesi BP'!F14+'Ipotesi BP'!F16)/12</x:f>
        <x:v>5850</x:v>
      </x:c>
      <x:c r="N62" s="18" t="n">
        <x:f>'Ipotesi BP'!F21/12</x:f>
        <x:v>4000</x:v>
      </x:c>
      <x:c r="O62" s="18" t="n">
        <x:f>'Ipotesi BP'!F22*'Ipotesi BP'!F23/12</x:f>
        <x:v>6753</x:v>
      </x:c>
      <x:c r="P62" s="18" t="n">
        <x:f>'Ipotesi BP'!F24/12</x:f>
        <x:v>1500</x:v>
      </x:c>
      <x:c r="Q62" s="18" t="n">
        <x:f>SUM('Ipotesi BP'!F25:F29)/12</x:f>
        <x:v>2183.3333333333335</x:v>
      </x:c>
      <x:c r="R62" s="17" t="n">
        <x:f>0</x:f>
        <x:v>0</x:v>
      </x:c>
      <x:c r="S62" s="17" t="n">
        <x:f>H62-SUM(I62:R62)</x:f>
        <x:v>-4999.364208414307</x:v>
      </x:c>
      <x:c r="T62" s="17" t="n">
        <x:f>SUM(X27:X62)/36</x:f>
        <x:v>69.44444444444444</x:v>
      </x:c>
      <x:c r="U62" s="17" t="n">
        <x:f>S62-T62</x:f>
        <x:v>-5068.808652858751</x:v>
      </x:c>
      <x:c r="V62" s="18" t="n">
        <x:f>MAX(0,U62)*'Ipotesi BP'!F38+MAX(0,U62+N62)*'Ipotesi BP'!F39</x:f>
        <x:v>0</x:v>
      </x:c>
      <x:c r="W62" s="17" t="n">
        <x:f>U62-V62</x:f>
        <x:v>-5068.808652858751</x:v>
      </x:c>
      <x:c r="X62" s="17" t="n">
        <x:f>0</x:f>
        <x:v>0</x:v>
      </x:c>
      <x:c r="Y62" s="18" t="n">
        <x:f>H62*(1+'Ipotesi BP'!F34)*'Ipotesi BP'!F37/30</x:f>
        <x:v>5767.330376487149</x:v>
      </x:c>
      <x:c r="Z62" s="17" t="n">
        <x:f>MAX(0,-AO62)</x:f>
        <x:v>0</x:v>
      </x:c>
      <x:c r="AA62" s="17" t="n">
        <x:f>MAX(0,AO62)</x:f>
        <x:v>1822.6518692261745</x:v>
      </x:c>
      <x:c r="AB62" s="17" t="n">
        <x:f>Y62+Z62-AA62-Y61-Z61+AA61</x:f>
        <x:v>51.52764951167978</x:v>
      </x:c>
      <x:c r="AC62" s="17" t="n">
        <x:f>W62+T62-AB62</x:f>
        <x:v>-5050.891857925986</x:v>
      </x:c>
      <x:c r="AD62" s="17" t="n">
        <x:f>0</x:f>
        <x:v>0</x:v>
      </x:c>
      <x:c r="AE62" s="17" t="n">
        <x:f>0</x:f>
        <x:v>0</x:v>
      </x:c>
      <x:c r="AF62" s="17" t="n">
        <x:f>AF61+AC62-X62+AD62+AE62</x:f>
        <x:v>36642.28145283894</x:v>
      </x:c>
      <x:c r="AG62" s="17" t="n">
        <x:f>AG61+AC62-X62+AD62</x:f>
        <x:v>-303357.7185471611</x:v>
      </x:c>
      <x:c r="AH62" s="17" t="n">
        <x:f>SUM($X$6:X62)-SUM($T$6:T62)</x:f>
        <x:v>1208.333333333334</x:v>
      </x:c>
      <x:c r="AI62" s="17" t="n">
        <x:f>SUM($W$6:W62)</x:f>
        <x:v>-308204.7067065668</x:v>
      </x:c>
      <x:c r="AJ62" s="17" t="n">
        <x:f>SUM($AD$6:AE62)</x:f>
        <x:v>350000</x:v>
      </x:c>
      <x:c r="AK62" s="17" t="n">
        <x:f>AF62+Y62+Z62+AH62-AA62-AI62-AJ62</x:f>
        <x:v>5.820766091346741e-11</x:v>
      </x:c>
      <x:c r="AL62" s="18" t="n">
        <x:f>G62*'Ipotesi BP'!F40/60+D62*'Ipotesi BP'!F41/60+'Ipotesi BP'!F44</x:f>
        <x:v>181.92898685385242</x:v>
      </x:c>
      <x:c r="AM62" s="18" t="n">
        <x:f>'Ipotesi BP'!F42+'Ipotesi BP'!F22*'Ipotesi BP'!F43</x:f>
        <x:v>280</x:v>
      </x:c>
      <x:c r="AN62" s="17" t="n">
        <x:f>MAX(0,AL62-AM62)</x:f>
        <x:v>0</x:v>
      </x:c>
      <x:c r="AO62" s="18" t="n">
        <x:f>AO61-MAX(0,AO61)+(H62-I62-G62*'Ipotesi BP'!F19-L62-M62-P62-Q62+'Ipotesi BP'!F27/12-X62)*'Ipotesi BP'!F34</x:f>
        <x:v>1822.6518692261745</x:v>
      </x:c>
    </x:row>
    <x:row r="63" ht="25" customHeight="1">
      <x:c r="A63" s="17" t="n">
        <x:f>58</x:f>
        <x:v>58</x:v>
      </x:c>
      <x:c r="B63" s="26" t="n">
        <x:f>2031</x:f>
        <x:v>2031</x:v>
      </x:c>
      <x:c r="C63" s="27" t="n">
        <x:f>F62</x:f>
        <x:v>911.2530842179953</x:v>
      </x:c>
      <x:c r="D63" s="28" t="n">
        <x:f>('Ipotesi BP'!F9/'Ipotesi BP'!F10*'Ipotesi BP'!F11+'Ipotesi BP'!F13+'Ipotesi BP'!F15+'Ipotesi BP'!F17)/12*'Ipotesi BP'!F45</x:f>
        <x:v>45</x:v>
      </x:c>
      <x:c r="E63" s="28" t="n">
        <x:f>C63*'Ipotesi BP'!F8</x:f>
        <x:v>18.225061684359904</x:v>
      </x:c>
      <x:c r="F63" s="27" t="n">
        <x:f>C63+D63-E63</x:f>
        <x:v>938.0280225336353</x:v>
      </x:c>
      <x:c r="G63" s="27" t="n">
        <x:f>(C63+F63)/2</x:f>
        <x:v>924.6405533758152</x:v>
      </x:c>
      <x:c r="H63" s="18" t="n">
        <x:f>G63*'Ipotesi BP'!F6</x:f>
        <x:v>73046.6037166894</x:v>
      </x:c>
      <x:c r="I63" s="18" t="n">
        <x:f>G63*'Ipotesi BP'!F7</x:f>
        <x:v>52038.77034399088</x:v>
      </x:c>
      <x:c r="J63" s="18" t="n">
        <x:f>G63*('Ipotesi BP'!F6*(1+'Ipotesi BP'!F34)*'Ipotesi BP'!F35+'Ipotesi BP'!F36)</x:f>
        <x:v>1567.9129863593698</x:v>
      </x:c>
      <x:c r="K63" s="18" t="n">
        <x:f>G63*'Ipotesi BP'!F19+H63*'Ipotesi BP'!F20</x:f>
        <x:v>2579.7471439185247</x:v>
      </x:c>
      <x:c r="L63" s="18" t="n">
        <x:f>D63*'Ipotesi BP'!F18</x:f>
        <x:v>1080</x:v>
      </x:c>
      <x:c r="M63" s="18" t="n">
        <x:f>('Ipotesi BP'!F9+'Ipotesi BP'!F12+'Ipotesi BP'!F14+'Ipotesi BP'!F16)/12</x:f>
        <x:v>5850</x:v>
      </x:c>
      <x:c r="N63" s="18" t="n">
        <x:f>'Ipotesi BP'!F21/12</x:f>
        <x:v>4000</x:v>
      </x:c>
      <x:c r="O63" s="18" t="n">
        <x:f>'Ipotesi BP'!F22*'Ipotesi BP'!F23/12</x:f>
        <x:v>6753</x:v>
      </x:c>
      <x:c r="P63" s="18" t="n">
        <x:f>'Ipotesi BP'!F24/12</x:f>
        <x:v>1500</x:v>
      </x:c>
      <x:c r="Q63" s="18" t="n">
        <x:f>SUM('Ipotesi BP'!F25:F29)/12</x:f>
        <x:v>2183.3333333333335</x:v>
      </x:c>
      <x:c r="R63" s="17" t="n">
        <x:f>0</x:f>
        <x:v>0</x:v>
      </x:c>
      <x:c r="S63" s="17" t="n">
        <x:f>H63-SUM(I63:R63)</x:f>
        <x:v>-4506.160090912701</x:v>
      </x:c>
      <x:c r="T63" s="17" t="n">
        <x:f>SUM(X28:X63)/36</x:f>
        <x:v>69.44444444444444</x:v>
      </x:c>
      <x:c r="U63" s="17" t="n">
        <x:f>S63-T63</x:f>
        <x:v>-4575.604535357145</x:v>
      </x:c>
      <x:c r="V63" s="18" t="n">
        <x:f>MAX(0,U63)*'Ipotesi BP'!F38+MAX(0,U63+N63)*'Ipotesi BP'!F39</x:f>
        <x:v>0</x:v>
      </x:c>
      <x:c r="W63" s="17" t="n">
        <x:f>U63-V63</x:f>
        <x:v>-4575.604535357145</x:v>
      </x:c>
      <x:c r="X63" s="17" t="n">
        <x:f>0</x:f>
        <x:v>0</x:v>
      </x:c>
      <x:c r="Y63" s="18" t="n">
        <x:f>H63*(1+'Ipotesi BP'!F34)*'Ipotesi BP'!F37/30</x:f>
        <x:v>5941.123768957404</x:v>
      </x:c>
      <x:c r="Z63" s="17" t="n">
        <x:f>MAX(0,-AO63)</x:f>
        <x:v>0</x:v>
      </x:c>
      <x:c r="AA63" s="17" t="n">
        <x:f>MAX(0,AO63)</x:f>
        <x:v>1945.948165174981</x:v>
      </x:c>
      <x:c r="AB63" s="17" t="n">
        <x:f>Y63+Z63-AA63-Y62-Z62+AA62</x:f>
        <x:v>50.49709652144816</x:v>
      </x:c>
      <x:c r="AC63" s="17" t="n">
        <x:f>W63+T63-AB63</x:f>
        <x:v>-4556.657187434149</x:v>
      </x:c>
      <x:c r="AD63" s="17" t="n">
        <x:f>0</x:f>
        <x:v>0</x:v>
      </x:c>
      <x:c r="AE63" s="17" t="n">
        <x:f>0</x:f>
        <x:v>0</x:v>
      </x:c>
      <x:c r="AF63" s="17" t="n">
        <x:f>AF62+AC63-X63+AD63+AE63</x:f>
        <x:v>32085.624265404793</x:v>
      </x:c>
      <x:c r="AG63" s="17" t="n">
        <x:f>AG62+AC63-X63+AD63</x:f>
        <x:v>-307914.37573459523</x:v>
      </x:c>
      <x:c r="AH63" s="17" t="n">
        <x:f>SUM($X$6:X63)-SUM($T$6:T63)</x:f>
        <x:v>1138.8888888888896</x:v>
      </x:c>
      <x:c r="AI63" s="17" t="n">
        <x:f>SUM($W$6:W63)</x:f>
        <x:v>-312780.31124192395</x:v>
      </x:c>
      <x:c r="AJ63" s="17" t="n">
        <x:f>SUM($AD$6:AE63)</x:f>
        <x:v>350000</x:v>
      </x:c>
      <x:c r="AK63" s="17" t="n">
        <x:f>AF63+Y63+Z63+AH63-AA63-AI63-AJ63</x:f>
        <x:v>5.820766091346741e-11</x:v>
      </x:c>
      <x:c r="AL63" s="18" t="n">
        <x:f>G63*'Ipotesi BP'!F40/60+D63*'Ipotesi BP'!F41/60+'Ipotesi BP'!F44</x:f>
        <x:v>185.53540711677536</x:v>
      </x:c>
      <x:c r="AM63" s="18" t="n">
        <x:f>'Ipotesi BP'!F42+'Ipotesi BP'!F22*'Ipotesi BP'!F43</x:f>
        <x:v>280</x:v>
      </x:c>
      <x:c r="AN63" s="17" t="n">
        <x:f>MAX(0,AL63-AM63)</x:f>
        <x:v>0</x:v>
      </x:c>
      <x:c r="AO63" s="18" t="n">
        <x:f>AO62-MAX(0,AO62)+(H63-I63-G63*'Ipotesi BP'!F19-L63-M63-P63-Q63+'Ipotesi BP'!F27/12-X63)*'Ipotesi BP'!F34</x:f>
        <x:v>1945.948165174981</x:v>
      </x:c>
    </x:row>
    <x:row r="64" ht="25" customHeight="1">
      <x:c r="A64" s="17" t="n">
        <x:f>59</x:f>
        <x:v>59</x:v>
      </x:c>
      <x:c r="B64" s="26" t="n">
        <x:f>2031</x:f>
        <x:v>2031</x:v>
      </x:c>
      <x:c r="C64" s="27" t="n">
        <x:f>F63</x:f>
        <x:v>938.0280225336353</x:v>
      </x:c>
      <x:c r="D64" s="28" t="n">
        <x:f>('Ipotesi BP'!F9/'Ipotesi BP'!F10*'Ipotesi BP'!F11+'Ipotesi BP'!F13+'Ipotesi BP'!F15+'Ipotesi BP'!F17)/12*'Ipotesi BP'!F45</x:f>
        <x:v>45</x:v>
      </x:c>
      <x:c r="E64" s="28" t="n">
        <x:f>C64*'Ipotesi BP'!F8</x:f>
        <x:v>18.760560450672706</x:v>
      </x:c>
      <x:c r="F64" s="27" t="n">
        <x:f>C64+D64-E64</x:f>
        <x:v>964.2674620829625</x:v>
      </x:c>
      <x:c r="G64" s="27" t="n">
        <x:f>(C64+F64)/2</x:f>
        <x:v>951.1477423082989</x:v>
      </x:c>
      <x:c r="H64" s="18" t="n">
        <x:f>G64*'Ipotesi BP'!F6</x:f>
        <x:v>75140.67164235562</x:v>
      </x:c>
      <x:c r="I64" s="18" t="n">
        <x:f>G64*'Ipotesi BP'!F7</x:f>
        <x:v>53530.59493711106</x:v>
      </x:c>
      <x:c r="J64" s="18" t="n">
        <x:f>G64*('Ipotesi BP'!F6*(1+'Ipotesi BP'!F34)*'Ipotesi BP'!F35+'Ipotesi BP'!F36)</x:f>
        <x:v>1612.8612266321825</x:v>
      </x:c>
      <x:c r="K64" s="18" t="n">
        <x:f>G64*'Ipotesi BP'!F19+H64*'Ipotesi BP'!F20</x:f>
        <x:v>2653.7022010401543</x:v>
      </x:c>
      <x:c r="L64" s="18" t="n">
        <x:f>D64*'Ipotesi BP'!F18</x:f>
        <x:v>1080</x:v>
      </x:c>
      <x:c r="M64" s="18" t="n">
        <x:f>('Ipotesi BP'!F9+'Ipotesi BP'!F12+'Ipotesi BP'!F14+'Ipotesi BP'!F16)/12</x:f>
        <x:v>5850</x:v>
      </x:c>
      <x:c r="N64" s="18" t="n">
        <x:f>'Ipotesi BP'!F21/12</x:f>
        <x:v>4000</x:v>
      </x:c>
      <x:c r="O64" s="18" t="n">
        <x:f>'Ipotesi BP'!F22*'Ipotesi BP'!F23/12</x:f>
        <x:v>6753</x:v>
      </x:c>
      <x:c r="P64" s="18" t="n">
        <x:f>'Ipotesi BP'!F24/12</x:f>
        <x:v>1500</x:v>
      </x:c>
      <x:c r="Q64" s="18" t="n">
        <x:f>SUM('Ipotesi BP'!F25:F29)/12</x:f>
        <x:v>2183.3333333333335</x:v>
      </x:c>
      <x:c r="R64" s="17" t="n">
        <x:f>0</x:f>
        <x:v>0</x:v>
      </x:c>
      <x:c r="S64" s="17" t="n">
        <x:f>H64-SUM(I64:R64)</x:f>
        <x:v>-4022.820055761098</x:v>
      </x:c>
      <x:c r="T64" s="17" t="n">
        <x:f>SUM(X29:X64)/36</x:f>
        <x:v>69.44444444444444</x:v>
      </x:c>
      <x:c r="U64" s="17" t="n">
        <x:f>S64-T64</x:f>
        <x:v>-4092.2645002055424</x:v>
      </x:c>
      <x:c r="V64" s="18" t="n">
        <x:f>MAX(0,U64)*'Ipotesi BP'!F38+MAX(0,U64+N64)*'Ipotesi BP'!F39</x:f>
        <x:v>0</x:v>
      </x:c>
      <x:c r="W64" s="17" t="n">
        <x:f>U64-V64</x:f>
        <x:v>-4092.2645002055424</x:v>
      </x:c>
      <x:c r="X64" s="17" t="n">
        <x:f>0</x:f>
        <x:v>0</x:v>
      </x:c>
      <x:c r="Y64" s="18" t="n">
        <x:f>H64*(1+'Ipotesi BP'!F34)*'Ipotesi BP'!F37/30</x:f>
        <x:v>6111.4412935782575</x:v>
      </x:c>
      <x:c r="Z64" s="17" t="n">
        <x:f>MAX(0,-AO64)</x:f>
        <x:v>0</x:v>
      </x:c>
      <x:c r="AA64" s="17" t="n">
        <x:f>MAX(0,AO64)</x:f>
        <x:v>2066.7785352048177</x:v>
      </x:c>
      <x:c r="AB64" s="17" t="n">
        <x:f>Y64+Z64-AA64-Y63-Z63+AA63</x:f>
        <x:v>49.487154591017315</x:v>
      </x:c>
      <x:c r="AC64" s="17" t="n">
        <x:f>W64+T64-AB64</x:f>
        <x:v>-4072.3072103521154</x:v>
      </x:c>
      <x:c r="AD64" s="17" t="n">
        <x:f>0</x:f>
        <x:v>0</x:v>
      </x:c>
      <x:c r="AE64" s="17" t="n">
        <x:f>0</x:f>
        <x:v>0</x:v>
      </x:c>
      <x:c r="AF64" s="17" t="n">
        <x:f>AF63+AC64-X64+AD64+AE64</x:f>
        <x:v>28013.317055052677</x:v>
      </x:c>
      <x:c r="AG64" s="17" t="n">
        <x:f>AG63+AC64-X64+AD64</x:f>
        <x:v>-311986.68294494733</x:v>
      </x:c>
      <x:c r="AH64" s="17" t="n">
        <x:f>SUM($X$6:X64)-SUM($T$6:T64)</x:f>
        <x:v>1069.4444444444453</x:v>
      </x:c>
      <x:c r="AI64" s="17" t="n">
        <x:f>SUM($W$6:W64)</x:f>
        <x:v>-316872.57574212947</x:v>
      </x:c>
      <x:c r="AJ64" s="17" t="n">
        <x:f>SUM($AD$6:AE64)</x:f>
        <x:v>350000</x:v>
      </x:c>
      <x:c r="AK64" s="17" t="n">
        <x:f>AF64+Y64+Z64+AH64-AA64-AI64-AJ64</x:f>
        <x:v>5.820766091346741e-11</x:v>
      </x:c>
      <x:c r="AL64" s="18" t="n">
        <x:f>G64*'Ipotesi BP'!F40/60+D64*'Ipotesi BP'!F41/60+'Ipotesi BP'!F44</x:f>
        <x:v>189.06969897443986</x:v>
      </x:c>
      <x:c r="AM64" s="18" t="n">
        <x:f>'Ipotesi BP'!F42+'Ipotesi BP'!F22*'Ipotesi BP'!F43</x:f>
        <x:v>280</x:v>
      </x:c>
      <x:c r="AN64" s="17" t="n">
        <x:f>MAX(0,AL64-AM64)</x:f>
        <x:v>0</x:v>
      </x:c>
      <x:c r="AO64" s="18" t="n">
        <x:f>AO63-MAX(0,AO63)+(H64-I64-G64*'Ipotesi BP'!F19-L64-M64-P64-Q64+'Ipotesi BP'!F27/12-X64)*'Ipotesi BP'!F34</x:f>
        <x:v>2066.7785352048177</x:v>
      </x:c>
    </x:row>
    <x:row r="65" ht="25" customHeight="1">
      <x:c r="A65" s="17" t="n">
        <x:f>60</x:f>
        <x:v>60</x:v>
      </x:c>
      <x:c r="B65" s="26" t="n">
        <x:f>2031</x:f>
        <x:v>2031</x:v>
      </x:c>
      <x:c r="C65" s="27" t="n">
        <x:f>F64</x:f>
        <x:v>964.2674620829625</x:v>
      </x:c>
      <x:c r="D65" s="28" t="n">
        <x:f>('Ipotesi BP'!F9/'Ipotesi BP'!F10*'Ipotesi BP'!F11+'Ipotesi BP'!F13+'Ipotesi BP'!F15+'Ipotesi BP'!F17)/12*'Ipotesi BP'!F45</x:f>
        <x:v>45</x:v>
      </x:c>
      <x:c r="E65" s="28" t="n">
        <x:f>C65*'Ipotesi BP'!F8</x:f>
        <x:v>19.28534924165925</x:v>
      </x:c>
      <x:c r="F65" s="27" t="n">
        <x:f>C65+D65-E65</x:f>
        <x:v>989.9821128413033</x:v>
      </x:c>
      <x:c r="G65" s="27" t="n">
        <x:f>(C65+F65)/2</x:f>
        <x:v>977.1247874621329</x:v>
      </x:c>
      <x:c r="H65" s="18" t="n">
        <x:f>G65*'Ipotesi BP'!F6</x:f>
        <x:v>77192.8582095085</x:v>
      </x:c>
      <x:c r="I65" s="18" t="n">
        <x:f>G65*'Ipotesi BP'!F7</x:f>
        <x:v>54992.58303836884</x:v>
      </x:c>
      <x:c r="J65" s="18" t="n">
        <x:f>G65*('Ipotesi BP'!F6*(1+'Ipotesi BP'!F34)*'Ipotesi BP'!F35+'Ipotesi BP'!F36)</x:f>
        <x:v>1656.9105020995387</x:v>
      </x:c>
      <x:c r="K65" s="18" t="n">
        <x:f>G65*'Ipotesi BP'!F19+H65*'Ipotesi BP'!F20</x:f>
        <x:v>2726.1781570193507</x:v>
      </x:c>
      <x:c r="L65" s="18" t="n">
        <x:f>D65*'Ipotesi BP'!F18</x:f>
        <x:v>1080</x:v>
      </x:c>
      <x:c r="M65" s="18" t="n">
        <x:f>('Ipotesi BP'!F9+'Ipotesi BP'!F12+'Ipotesi BP'!F14+'Ipotesi BP'!F16)/12</x:f>
        <x:v>5850</x:v>
      </x:c>
      <x:c r="N65" s="18" t="n">
        <x:f>'Ipotesi BP'!F21/12</x:f>
        <x:v>4000</x:v>
      </x:c>
      <x:c r="O65" s="18" t="n">
        <x:f>'Ipotesi BP'!F22*'Ipotesi BP'!F23/12</x:f>
        <x:v>6753</x:v>
      </x:c>
      <x:c r="P65" s="18" t="n">
        <x:f>'Ipotesi BP'!F24/12</x:f>
        <x:v>1500</x:v>
      </x:c>
      <x:c r="Q65" s="18" t="n">
        <x:f>SUM('Ipotesi BP'!F25:F29)/12</x:f>
        <x:v>2183.3333333333335</x:v>
      </x:c>
      <x:c r="R65" s="17" t="n">
        <x:f>0</x:f>
        <x:v>0</x:v>
      </x:c>
      <x:c r="S65" s="17" t="n">
        <x:f>H65-SUM(I65:R65)</x:f>
        <x:v>-3549.1468213125627</x:v>
      </x:c>
      <x:c r="T65" s="17" t="n">
        <x:f>SUM(X30:X65)/36</x:f>
        <x:v>69.44444444444444</x:v>
      </x:c>
      <x:c r="U65" s="17" t="n">
        <x:f>S65-T65</x:f>
        <x:v>-3618.591265757007</x:v>
      </x:c>
      <x:c r="V65" s="18" t="n">
        <x:f>MAX(0,U65)*'Ipotesi BP'!F38+MAX(0,U65+N65)*'Ipotesi BP'!F39</x:f>
        <x:v>14.874940635476726</x:v>
      </x:c>
      <x:c r="W65" s="17" t="n">
        <x:f>U65-V65</x:f>
        <x:v>-3633.466206392484</x:v>
      </x:c>
      <x:c r="X65" s="17" t="n">
        <x:f>0</x:f>
        <x:v>0</x:v>
      </x:c>
      <x:c r="Y65" s="18" t="n">
        <x:f>H65*(1+'Ipotesi BP'!F34)*'Ipotesi BP'!F37/30</x:f>
        <x:v>6278.352467706691</x:v>
      </x:c>
      <x:c r="Z65" s="17" t="n">
        <x:f>MAX(0,-AO65)</x:f>
        <x:v>0</x:v>
      </x:c>
      <x:c r="AA65" s="17" t="n">
        <x:f>MAX(0,AO65)</x:f>
        <x:v>2185.192297834054</x:v>
      </x:c>
      <x:c r="AB65" s="17" t="n">
        <x:f>Y65+Z65-AA65-Y64-Z64+AA64</x:f>
        <x:v>48.497411499196915</x:v>
      </x:c>
      <x:c r="AC65" s="17" t="n">
        <x:f>W65+T65-AB65</x:f>
        <x:v>-3612.5191734472364</x:v>
      </x:c>
      <x:c r="AD65" s="17" t="n">
        <x:f>0</x:f>
        <x:v>0</x:v>
      </x:c>
      <x:c r="AE65" s="17" t="n">
        <x:f>0</x:f>
        <x:v>0</x:v>
      </x:c>
      <x:c r="AF65" s="17" t="n">
        <x:f>AF64+AC65-X65+AD65+AE65</x:f>
        <x:v>24400.797881605442</x:v>
      </x:c>
      <x:c r="AG65" s="17" t="n">
        <x:f>AG64+AC65-X65+AD65</x:f>
        <x:v>-315599.20211839455</x:v>
      </x:c>
      <x:c r="AH65" s="17" t="n">
        <x:f>SUM($X$6:X65)-SUM($T$6:T65)</x:f>
        <x:v>1000.0000000000009</x:v>
      </x:c>
      <x:c r="AI65" s="17" t="n">
        <x:f>SUM($W$6:W65)</x:f>
        <x:v>-320506.041948522</x:v>
      </x:c>
      <x:c r="AJ65" s="17" t="n">
        <x:f>SUM($AD$6:AE65)</x:f>
        <x:v>350000</x:v>
      </x:c>
      <x:c r="AK65" s="17" t="n">
        <x:f>AF65+Y65+Z65+AH65-AA65-AI65-AJ65</x:f>
        <x:v>5.820766091346741e-11</x:v>
      </x:c>
      <x:c r="AL65" s="18" t="n">
        <x:f>G65*'Ipotesi BP'!F40/60+D65*'Ipotesi BP'!F41/60+'Ipotesi BP'!F44</x:f>
        <x:v>192.53330499495104</x:v>
      </x:c>
      <x:c r="AM65" s="18" t="n">
        <x:f>'Ipotesi BP'!F42+'Ipotesi BP'!F22*'Ipotesi BP'!F43</x:f>
        <x:v>280</x:v>
      </x:c>
      <x:c r="AN65" s="17" t="n">
        <x:f>MAX(0,AL65-AM65)</x:f>
        <x:v>0</x:v>
      </x:c>
      <x:c r="AO65" s="18" t="n">
        <x:f>AO64-MAX(0,AO64)+(H65-I65-G65*'Ipotesi BP'!F19-L65-M65-P65-Q65+'Ipotesi BP'!F27/12-X65)*'Ipotesi BP'!F34</x:f>
        <x:v>2185.192297834054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17" hidden="0" customWidth="1"/>
    <x:col min="3" max="3" width="22" hidden="0" customWidth="1"/>
    <x:col min="4" max="4" width="68" hidden="0" customWidth="1"/>
  </x:cols>
  <x:sheetData>
    <x:row r="1" ht="25" customHeight="1">
      <x:c r="A1" s="1" t="str">
        <x:v>Pilot 90 giorni · tetti di cassa condizionati a preventivi</x:v>
      </x:c>
      <x:c r="B1" s="1"/>
      <x:c r="C1" s="1"/>
      <x:c r="D1" s="1"/>
    </x:row>
    <x:row r="2" ht="25" customHeight="1">
      <x:c r="A2" s="1"/>
      <x:c r="B2" s="1"/>
      <x:c r="C2" s="1"/>
      <x:c r="D2" s="1"/>
    </x:row>
    <x:row r="3" ht="25" customHeight="1">
      <x:c r="A3" s="1" t="str">
        <x:v>Alternativa al lancio annuale, non inclusa in aggiunta nel BP. IVA inclusa dove dovuta.</x:v>
      </x:c>
      <x:c r="B3" s="1"/>
      <x:c r="C3" s="1"/>
      <x:c r="D3" s="1"/>
    </x:row>
    <x:row r="4" ht="25" customHeight="1">
      <x:c r="A4" s="1"/>
      <x:c r="B4" s="1"/>
      <x:c r="C4" s="1"/>
      <x:c r="D4" s="1"/>
    </x:row>
    <x:row r="5" ht="36" customHeight="1">
      <x:c r="A5" s="5" t="str">
        <x:v>Spesa / riserva</x:v>
      </x:c>
      <x:c r="B5" s="5" t="str">
        <x:v>EUR</x:v>
      </x:c>
      <x:c r="C5" s="5" t="str">
        <x:v>Natura</x:v>
      </x:c>
      <x:c r="D5" s="5" t="str">
        <x:v>Condizione</x:v>
      </x:c>
    </x:row>
    <x:row r="6" ht="43" customHeight="1">
      <x:c r="A6" s="12" t="str">
        <x:v>Costituzione e setup</x:v>
      </x:c>
      <x:c r="B6" s="15" t="n">
        <x:v>3000</x:v>
      </x:c>
      <x:c r="C6" s="12" t="str">
        <x:v>H tetto</x:v>
      </x:c>
      <x:c r="D6" s="12" t="str">
        <x:v>Se società non già costituita; costi reali da notaio/consulente</x:v>
      </x:c>
    </x:row>
    <x:row r="7" ht="43" customHeight="1">
      <x:c r="A7" s="12" t="str">
        <x:v>Legale, contratti, privacy, perimetro</x:v>
      </x:c>
      <x:c r="B7" s="15" t="n">
        <x:v>1800</x:v>
      </x:c>
      <x:c r="C7" s="12" t="str">
        <x:v>H tetto</x:v>
      </x:c>
      <x:c r="D7" s="12" t="str">
        <x:v>Nessuna attivazione se budget non compra presidi adeguati</x:v>
      </x:c>
    </x:row>
    <x:row r="8" ht="43" customHeight="1">
      <x:c r="A8" s="12" t="str">
        <x:v>Contabilità 90 giorni</x:v>
      </x:c>
      <x:c r="B8" s="15" t="n">
        <x:v>500</x:v>
      </x:c>
      <x:c r="C8" s="12" t="str">
        <x:v>H tetto</x:v>
      </x:c>
      <x:c r="D8" s="12" t="str">
        <x:v>Non copre il resto dell’anno</x:v>
      </x:c>
    </x:row>
    <x:row r="9" ht="43" customHeight="1">
      <x:c r="A9" s="12" t="str">
        <x:v>Assicurazione</x:v>
      </x:c>
      <x:c r="B9" s="15" t="n">
        <x:v>500</x:v>
      </x:c>
      <x:c r="C9" s="12" t="str">
        <x:v>H tetto</x:v>
      </x:c>
      <x:c r="D9" s="12" t="str">
        <x:v>Polizza/periodo/esclusioni da quotare</x:v>
      </x:c>
    </x:row>
    <x:row r="10" ht="43" customHeight="1">
      <x:c r="A10" s="12" t="str">
        <x:v>Strumenti</x:v>
      </x:c>
      <x:c r="B10" s="15" t="n">
        <x:v>300</x:v>
      </x:c>
      <x:c r="C10" s="12" t="str">
        <x:v>H tetto</x:v>
      </x:c>
      <x:c r="D10" s="12" t="str">
        <x:v>Hardware esistente; nessun software custom</x:v>
      </x:c>
    </x:row>
    <x:row r="11" ht="43" customHeight="1">
      <x:c r="A11" s="12" t="str">
        <x:v>Test acquisizione</x:v>
      </x:c>
      <x:c r="B11" s="15" t="n">
        <x:v>700</x:v>
      </x:c>
      <x:c r="C11" s="12" t="str">
        <x:v>H tetto</x:v>
      </x:c>
      <x:c r="D11" s="12" t="str">
        <x:v>Circa3–4 search ai parametri del BP, non20</x:v>
      </x:c>
    </x:row>
    <x:row r="12" ht="43" customHeight="1">
      <x:c r="A12" s="12" t="str">
        <x:v>KYC fino a20 clienti</x:v>
      </x:c>
      <x:c r="B12" s="15" t="n">
        <x:v>480</x:v>
      </x:c>
      <x:c r="C12" s="12" t="str">
        <x:v>H tetto</x:v>
      </x:c>
      <x:c r="D12" s="12" t="str">
        <x:v>Iniziare con5 clienti; 20 massimo da raggiungere condizionatamente</x:v>
      </x:c>
    </x:row>
    <x:row r="13" ht="43" customHeight="1">
      <x:c r="A13" s="12" t="str">
        <x:v>Circolante partner</x:v>
      </x:c>
      <x:c r="B13" s="15" t="n">
        <x:v>500</x:v>
      </x:c>
      <x:c r="C13" s="12" t="str">
        <x:v>H riserva</x:v>
      </x:c>
      <x:c r="D13" s="12" t="str">
        <x:v>Non copre20 canoni anticipati; attivazione per lotti dopo incasso</x:v>
      </x:c>
    </x:row>
    <x:row r="14" ht="43" customHeight="1">
      <x:c r="A14" s="12" t="str">
        <x:v>Riserva uscita e imprevisti</x:v>
      </x:c>
      <x:c r="B14" s="15" t="n">
        <x:v>2220</x:v>
      </x:c>
      <x:c r="C14" s="12" t="str">
        <x:v>H non impegnata</x:v>
      </x:c>
      <x:c r="D14" s="12" t="str">
        <x:v>Non spenderla in acquisizione; costo uscita da quotare</x:v>
      </x:c>
    </x:row>
    <x:row r="15" ht="25" customHeight="1">
      <x:c r="A15" s="1"/>
      <x:c r="B15" s="17"/>
      <x:c r="C15" s="1"/>
      <x:c r="D15" s="1"/>
    </x:row>
    <x:row r="16" ht="25" customHeight="1">
      <x:c r="A16" s="19" t="str">
        <x:v>TOTALE TETTI E RISERVE</x:v>
      </x:c>
      <x:c r="B16" s="20" t="n">
        <x:f>SUM(B6:B14)</x:f>
        <x:v>10000</x:v>
      </x:c>
      <x:c r="C16" s="19"/>
      <x:c r="D16" s="19"/>
    </x:row>
    <x:row r="17" ht="25" customHeight="1">
      <x:c r="A17" s="19" t="str">
        <x:v>Capitale iniziale disponibile</x:v>
      </x:c>
      <x:c r="B17" s="20" t="n">
        <x:f>'Ipotesi BP'!B32</x:f>
        <x:v>10000</x:v>
      </x:c>
      <x:c r="C17" s="19"/>
      <x:c r="D17" s="19"/>
    </x:row>
    <x:row r="18" ht="25" customHeight="1">
      <x:c r="A18" s="19" t="str">
        <x:v>Margine budget (negativo = eccedenza)</x:v>
      </x:c>
      <x:c r="B18" s="20" t="n">
        <x:f>B17-B16</x:f>
        <x:v>0</x:v>
      </x:c>
      <x:c r="C18" s="19"/>
      <x:c r="D18" s="19"/>
    </x:row>
    <x:row r="19" ht="25" customHeight="1">
      <x:c r="A19" s="1"/>
      <x:c r="B19" s="1"/>
      <x:c r="C19" s="1"/>
      <x:c r="D19" s="1"/>
    </x:row>
    <x:row r="20" ht="25" customHeight="1">
      <x:c r="A20" s="1" t="str">
        <x:v>Budget cash ≠ tutela patrimonio netto. Verifica perdite societarie prima degli impegni.</x:v>
      </x:c>
      <x:c r="B20" s="1"/>
      <x:c r="C20" s="1"/>
      <x:c r="D20" s="1"/>
    </x:row>
    <x:row r="21" ht="25" customHeight="1">
      <x:c r="A21" s="1" t="str">
        <x:v>Compensi founder anno1 zero. Contributi personali e disponibilità delle ore da verificare separatamente.</x:v>
      </x:c>
      <x:c r="B21" s="1"/>
      <x:c r="C21" s="1"/>
      <x:c r="D21" s="1"/>
    </x:row>
    <x:row r="22" ht="25" customHeight="1">
      <x:c r="A22" s="1" t="str">
        <x:v>Nessuna garanzia di costo, vendita o continuazione a12 mesi; ridurre scope se i preventivi eccedono i tetti.</x:v>
      </x:c>
      <x:c r="B22" s="1"/>
      <x:c r="C22" s="1"/>
      <x:c r="D22" s="1"/>
    </x:row>
    <x:row r="23" ht="25" customHeight="1">
      <x:c r="A23" s="1"/>
      <x:c r="B23" s="1"/>
      <x:c r="C23" s="1"/>
      <x:c r="D23" s="1"/>
    </x:row>
    <x:row r="24" ht="25" customHeight="1">
      <x:c r="A24" s="1"/>
      <x:c r="B24" s="1"/>
      <x:c r="C24" s="1"/>
      <x:c r="D24" s="1"/>
    </x:row>
    <x:row r="25" ht="25" customHeight="1">
      <x:c r="A25" s="1"/>
      <x:c r="B25" s="1"/>
      <x:c r="C25" s="1"/>
      <x:c r="D25" s="1"/>
    </x:row>
    <x:row r="26" ht="25" customHeight="1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83B4D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48" hidden="0" customWidth="1"/>
    <x:col min="3" max="3" width="18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  <x:col min="11" max="11" width="30" hidden="0" customWidth="1"/>
    <x:col min="12" max="12" width="30" hidden="0" customWidth="1"/>
    <x:col min="13" max="13" width="30" hidden="0" customWidth="1"/>
    <x:col min="14" max="14" width="30" hidden="0" customWidth="1"/>
    <x:col min="15" max="15" width="30" hidden="0" customWidth="1"/>
    <x:col min="16" max="16" width="30" hidden="0" customWidth="1"/>
    <x:col min="17" max="17" width="30" hidden="0" customWidth="1"/>
    <x:col min="18" max="18" width="30" hidden="0" customWidth="1"/>
    <x:col min="19" max="19" width="30" hidden="0" customWidth="1"/>
    <x:col min="20" max="20" width="30" hidden="0" customWidth="1"/>
    <x:col min="21" max="21" width="30" hidden="0" customWidth="1"/>
    <x:col min="22" max="22" width="30" hidden="0" customWidth="1"/>
    <x:col min="23" max="23" width="30" hidden="0" customWidth="1"/>
    <x:col min="24" max="24" width="30" hidden="0" customWidth="1"/>
    <x:col min="25" max="25" width="30" hidden="0" customWidth="1"/>
    <x:col min="26" max="26" width="30" hidden="0" customWidth="1"/>
    <x:col min="27" max="27" width="30" hidden="0" customWidth="1"/>
    <x:col min="28" max="28" width="30" hidden="0" customWidth="1"/>
    <x:col min="29" max="29" width="30" hidden="0" customWidth="1"/>
    <x:col min="30" max="30" width="30" hidden="0" customWidth="1"/>
    <x:col min="31" max="31" width="30" hidden="0" customWidth="1"/>
    <x:col min="32" max="32" width="30" hidden="0" customWidth="1"/>
    <x:col min="33" max="33" width="30" hidden="0" customWidth="1"/>
    <x:col min="34" max="34" width="30" hidden="0" customWidth="1"/>
    <x:col min="35" max="35" width="30" hidden="0" customWidth="1"/>
    <x:col min="36" max="36" width="30" hidden="0" customWidth="1"/>
    <x:col min="37" max="37" width="30" hidden="0" customWidth="1"/>
    <x:col min="38" max="38" width="30" hidden="0" customWidth="1"/>
    <x:col min="39" max="39" width="30" hidden="0" customWidth="1"/>
  </x:cols>
  <x:sheetData>
    <x:row r="1" ht="24" customHeight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  <x:c r="P1" s="29"/>
      <x:c r="Q1" s="29"/>
      <x:c r="R1" s="29"/>
      <x:c r="S1" s="29"/>
      <x:c r="T1" s="29"/>
      <x:c r="U1" s="29"/>
      <x:c r="V1" s="29"/>
      <x:c r="W1" s="29"/>
      <x:c r="X1" s="29"/>
      <x:c r="Y1" s="29"/>
      <x:c r="Z1" s="29"/>
      <x:c r="AA1" s="29"/>
      <x:c r="AB1" s="29"/>
      <x:c r="AC1" s="29"/>
      <x:c r="AD1" s="29"/>
      <x:c r="AE1" s="29"/>
      <x:c r="AF1" s="29"/>
      <x:c r="AG1" s="29"/>
      <x:c r="AH1" s="29"/>
      <x:c r="AI1" s="29"/>
      <x:c r="AJ1" s="29"/>
      <x:c r="AK1" s="29"/>
      <x:c r="AL1" s="29"/>
      <x:c r="AM1" s="29"/>
    </x:row>
    <x:row r="2" ht="28" customHeight="1">
      <x:c r="A2" s="30" t="str">
        <x:v>Adrexa · matrice competitiva · 1 ottobre 2026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  <x:c r="P2" s="29"/>
      <x:c r="Q2" s="29"/>
      <x:c r="R2" s="29"/>
      <x:c r="S2" s="29"/>
      <x:c r="T2" s="29"/>
      <x:c r="U2" s="29"/>
      <x:c r="V2" s="29"/>
      <x:c r="W2" s="29"/>
      <x:c r="X2" s="29"/>
      <x:c r="Y2" s="29"/>
      <x:c r="Z2" s="29"/>
      <x:c r="AA2" s="29"/>
      <x:c r="AB2" s="29"/>
      <x:c r="AC2" s="29"/>
      <x:c r="AD2" s="29"/>
      <x:c r="AE2" s="29"/>
      <x:c r="AF2" s="29"/>
      <x:c r="AG2" s="29"/>
      <x:c r="AH2" s="29"/>
      <x:c r="AI2" s="29"/>
      <x:c r="AJ2" s="29"/>
      <x:c r="AK2" s="29"/>
      <x:c r="AL2" s="29"/>
      <x:c r="AM2" s="29"/>
    </x:row>
    <x:row r="3" ht="24" customHeight="1">
      <x:c r="A3" s="29" t="str">
        <x:v>42 operatori. F documento; D dichiarazione; O osservazione; S fonte secondaria; I inferenza.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  <x:c r="AA3" s="29"/>
      <x:c r="AB3" s="29"/>
      <x:c r="AC3" s="29"/>
      <x:c r="AD3" s="29"/>
      <x:c r="AE3" s="29"/>
      <x:c r="AF3" s="29"/>
      <x:c r="AG3" s="29"/>
      <x:c r="AH3" s="29"/>
      <x:c r="AI3" s="29"/>
      <x:c r="AJ3" s="29"/>
      <x:c r="AK3" s="29"/>
      <x:c r="AL3" s="29"/>
      <x:c r="AM3" s="29"/>
    </x:row>
    <x:row r="4" ht="24" customHeight="1">
      <x:c r="A4" s="29" t="str">
        <x:v>Non trovato = non verificato nelle fonti consultate, non assenza del servizio. Fonti: codici nel foglio Fonti.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  <x:c r="P4" s="29"/>
      <x:c r="Q4" s="29"/>
      <x:c r="R4" s="29"/>
      <x:c r="S4" s="29"/>
      <x:c r="T4" s="29"/>
      <x:c r="U4" s="29"/>
      <x:c r="V4" s="29"/>
      <x:c r="W4" s="29"/>
      <x:c r="X4" s="29"/>
      <x:c r="Y4" s="29"/>
      <x:c r="Z4" s="29"/>
      <x:c r="AA4" s="29"/>
      <x:c r="AB4" s="29"/>
      <x:c r="AC4" s="29"/>
      <x:c r="AD4" s="29"/>
      <x:c r="AE4" s="29"/>
      <x:c r="AF4" s="29"/>
      <x:c r="AG4" s="29"/>
      <x:c r="AH4" s="29"/>
      <x:c r="AI4" s="29"/>
      <x:c r="AJ4" s="29"/>
      <x:c r="AK4" s="29"/>
      <x:c r="AL4" s="29"/>
      <x:c r="AM4" s="29"/>
    </x:row>
    <x:row r="5" ht="24" customHeight="1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  <x:c r="P5" s="29"/>
      <x:c r="Q5" s="29"/>
      <x:c r="R5" s="29"/>
      <x:c r="S5" s="29"/>
      <x:c r="T5" s="29"/>
      <x:c r="U5" s="29"/>
      <x:c r="V5" s="29"/>
      <x:c r="W5" s="29"/>
      <x:c r="X5" s="29"/>
      <x:c r="Y5" s="29"/>
      <x:c r="Z5" s="29"/>
      <x:c r="AA5" s="29"/>
      <x:c r="AB5" s="29"/>
      <x:c r="AC5" s="29"/>
      <x:c r="AD5" s="29"/>
      <x:c r="AE5" s="29"/>
      <x:c r="AF5" s="29"/>
      <x:c r="AG5" s="29"/>
      <x:c r="AH5" s="29"/>
      <x:c r="AI5" s="29"/>
      <x:c r="AJ5" s="29"/>
      <x:c r="AK5" s="29"/>
      <x:c r="AL5" s="29"/>
      <x:c r="AM5" s="29"/>
    </x:row>
    <x:row r="6" ht="36" customHeight="1">
      <x:c r="A6" s="36" t="str">
        <x:v>Nome</x:v>
      </x:c>
      <x:c r="B6" s="36" t="str">
        <x:v>URL</x:v>
      </x:c>
      <x:c r="C6" s="36" t="str">
        <x:v>Categoria</x:v>
      </x:c>
      <x:c r="D6" s="36" t="str">
        <x:v>Origine</x:v>
      </x:c>
      <x:c r="E6" s="36" t="str">
        <x:v>Paesi coperti</x:v>
      </x:c>
      <x:c r="F6" s="36" t="str">
        <x:v>Città/location</x:v>
      </x:c>
      <x:c r="G6" s="36" t="str">
        <x:v>Fondazione</x:v>
      </x:c>
      <x:c r="H6" s="36" t="str">
        <x:v>Modello</x:v>
      </x:c>
      <x:c r="I6" s="36" t="str">
        <x:v>Tipo rete</x:v>
      </x:c>
      <x:c r="J6" s="36" t="str">
        <x:v>Partner</x:v>
      </x:c>
      <x:c r="K6" s="36" t="str">
        <x:v>Sede legale</x:v>
      </x:c>
      <x:c r="L6" s="36" t="str">
        <x:v>Business address</x:v>
      </x:c>
      <x:c r="M6" s="36" t="str">
        <x:v>Posta</x:v>
      </x:c>
      <x:c r="N6" s="36" t="str">
        <x:v>Scansione</x:v>
      </x:c>
      <x:c r="O6" s="36" t="str">
        <x:v>Inoltro</x:v>
      </x:c>
      <x:c r="P6" s="36" t="str">
        <x:v>Sale</x:v>
      </x:c>
      <x:c r="Q6" s="36" t="str">
        <x:v>Uffici</x:v>
      </x:c>
      <x:c r="R6" s="36" t="str">
        <x:v>Coworking</x:v>
      </x:c>
      <x:c r="S6" s="36" t="str">
        <x:v>Costituzione</x:v>
      </x:c>
      <x:c r="T6" s="36" t="str">
        <x:v>Accounting</x:v>
      </x:c>
      <x:c r="U6" s="36" t="str">
        <x:v>KYC/KYB</x:v>
      </x:c>
      <x:c r="V6" s="36" t="str">
        <x:v>AML</x:v>
      </x:c>
      <x:c r="W6" s="36" t="str">
        <x:v>Onboarding digitale</x:v>
      </x:c>
      <x:c r="X6" s="36" t="str">
        <x:v>Firma elettronica</x:v>
      </x:c>
      <x:c r="Y6" s="36" t="str">
        <x:v>Pagamento online</x:v>
      </x:c>
      <x:c r="Z6" s="36" t="str">
        <x:v>Dashboard cliente</x:v>
      </x:c>
      <x:c r="AA6" s="36" t="str">
        <x:v>Dashboard partner</x:v>
      </x:c>
      <x:c r="AB6" s="36" t="str">
        <x:v>API</x:v>
      </x:c>
      <x:c r="AC6" s="36" t="str">
        <x:v>White label</x:v>
      </x:c>
      <x:c r="AD6" s="36" t="str">
        <x:v>Prezzi</x:v>
      </x:c>
      <x:c r="AE6" s="36" t="str">
        <x:v>Commissione/markup</x:v>
      </x:c>
      <x:c r="AF6" s="36" t="str">
        <x:v>Acquisizione</x:v>
      </x:c>
      <x:c r="AG6" s="36" t="str">
        <x:v>SEO/SEM</x:v>
      </x:c>
      <x:c r="AH6" s="36" t="str">
        <x:v>Recensioni/criticità</x:v>
      </x:c>
      <x:c r="AI6" s="36" t="str">
        <x:v>Traction</x:v>
      </x:c>
      <x:c r="AJ6" s="36" t="str">
        <x:v>Funding/investitori</x:v>
      </x:c>
      <x:c r="AK6" s="36" t="str">
        <x:v>Dati economici verificati</x:v>
      </x:c>
      <x:c r="AL6" s="36" t="str">
        <x:v>Traffico web verificato</x:v>
      </x:c>
      <x:c r="AM6" s="36" t="str">
        <x:v>Fonti</x:v>
      </x:c>
    </x:row>
    <x:row r="7" ht="74" customHeight="1">
      <x:c r="A7" s="31" t="str">
        <x:v>Olea</x:v>
      </x:c>
      <x:c r="B7" s="31" t="str">
        <x:v>https://oleaoffice.com/en/partner-terms</x:v>
      </x:c>
      <x:c r="C7" s="31" t="str">
        <x:v>A</x:v>
      </x:c>
      <x:c r="D7" s="31" t="str">
        <x:v>Regno Unito (Olea Office Ltd)</x:v>
      </x:c>
      <x:c r="E7" s="31" t="str">
        <x:v>Germania</x:v>
      </x:c>
      <x:c r="F7" s="31" t="str">
        <x:v>O: 18 disponibili in 7 città; indice include altre sedi in arrivo</x:v>
      </x:c>
      <x:c r="G7" s="31" t="str">
        <x:v>non trovato</x:v>
      </x:c>
      <x:c r="H7" s="31" t="str">
        <x:v>Contratto centrale + fulfillment indipendente</x:v>
      </x:c>
      <x:c r="I7" s="31" t="str">
        <x:v>Marketplace gestito</x:v>
      </x:c>
      <x:c r="J7" s="31" t="str">
        <x:v>Business center, coworking selezionati</x:v>
      </x:c>
      <x:c r="K7" s="31" t="str">
        <x:v>D: sì, secondo location e requisiti</x:v>
      </x:c>
      <x:c r="L7" s="31" t="str">
        <x:v>D: sì</x:v>
      </x:c>
      <x:c r="M7" s="31" t="str">
        <x:v>F: ricezione locale</x:v>
      </x:c>
      <x:c r="N7" s="31" t="str">
        <x:v>F: hub esterno e account separato</x:v>
      </x:c>
      <x:c r="O7" s="31" t="str">
        <x:v>F: opzioni e costi aggiuntivi</x:v>
      </x:c>
      <x:c r="P7" s="31" t="str">
        <x:v>D: richiesta tramite piattaforma</x:v>
      </x:c>
      <x:c r="Q7" s="31" t="str">
        <x:v>D: su richiesta</x:v>
      </x:c>
      <x:c r="R7" s="31" t="str">
        <x:v>D: sedi aderenti</x:v>
      </x:c>
      <x:c r="S7" s="31" t="str">
        <x:v>non trovato</x:v>
      </x:c>
      <x:c r="T7" s="31" t="str">
        <x:v>non trovato</x:v>
      </x:c>
      <x:c r="U7" s="31" t="str">
        <x:v>F: piattaforma, prima attivazione</x:v>
      </x:c>
      <x:c r="V7" s="31" t="str">
        <x:v>F: centrale; restano obblighi locali</x:v>
      </x:c>
      <x:c r="W7" s="31" t="str">
        <x:v>O: checkout raggiunto</x:v>
      </x:c>
      <x:c r="X7" s="31" t="str">
        <x:v>non trovato</x:v>
      </x:c>
      <x:c r="Y7" s="31" t="str">
        <x:v>O: Stripe, carta/PayPal/SEPA</x:v>
      </x:c>
      <x:c r="Z7" s="31" t="str">
        <x:v>F: portale; mailbox terza parte</x:v>
      </x:c>
      <x:c r="AA7" s="31" t="str">
        <x:v>F: portale operativo</x:v>
      </x:c>
      <x:c r="AB7" s="31" t="str">
        <x:v>non trovato</x:v>
      </x:c>
      <x:c r="AC7" s="31" t="str">
        <x:v>non trovato</x:v>
      </x:c>
      <x:c r="AD7" s="31" t="str">
        <x:v>O: Berlin €69/mese; Munich da €99; range €69–299</x:v>
      </x:c>
      <x:c r="AE7" s="31" t="str">
        <x:v>F: revenue share privata; 10% riguarda referral affitto, non VO</x:v>
      </x:c>
      <x:c r="AF7" s="31" t="str">
        <x:v>D: centrale + rete partner</x:v>
      </x:c>
      <x:c r="AG7" s="31" t="str">
        <x:v>Pagine città indicizzate; SEM non trovato</x:v>
      </x:c>
      <x:c r="AH7" s="31" t="str">
        <x:v>I: frammentazione mailbox; tempi scan non immediati</x:v>
      </x:c>
      <x:c r="AI7" s="31" t="str">
        <x:v>D/O: inventario pubblico; clienti non trovato</x:v>
      </x:c>
      <x:c r="AJ7" s="31" t="str">
        <x:v>non trovato</x:v>
      </x:c>
      <x:c r="AK7" s="31" t="str">
        <x:v>NF: bilancio attribuibile non acquisito nelle fonti consultate; nessuna stima di fatturato da traffico/clienti.</x:v>
      </x:c>
      <x:c r="AL7" s="31" t="str">
        <x:v>NF: nessun numero di visite attendibile acquisito; non equivale a zero.</x:v>
      </x:c>
      <x:c r="AM7" s="31" t="str">
        <x:v>op, oc, oh, ol, ow, ox</x:v>
      </x:c>
    </x:row>
    <x:row r="8" ht="74" customHeight="1">
      <x:c r="A8" s="32" t="str">
        <x:v>My Virtual Office (Seatsmatch)</x:v>
      </x:c>
      <x:c r="B8" s="32" t="str">
        <x:v>https://www.my-virtual-office.com/en</x:v>
      </x:c>
      <x:c r="C8" s="32" t="str">
        <x:v>A</x:v>
      </x:c>
      <x:c r="D8" s="32" t="str">
        <x:v>Austria</x:v>
      </x:c>
      <x:c r="E8" s="32" t="str">
        <x:v>Austria, Germania pubblicizzate</x:v>
      </x:c>
      <x:c r="F8" s="32" t="str">
        <x:v>O: Düsseldorf acquistabile in catalogo; Vienna/Munich pubblicizzate</x:v>
      </x:c>
      <x:c r="G8" s="32" t="str">
        <x:v>non trovato</x:v>
      </x:c>
      <x:c r="H8" s="32" t="str">
        <x:v>Intermediazione, contratto cliente-fornitore</x:v>
      </x:c>
      <x:c r="I8" s="32" t="str">
        <x:v>Marketplace indipendenti</x:v>
      </x:c>
      <x:c r="J8" s="32" t="str">
        <x:v>F: titolo di disponibilità locali e autorizzazione attività; professionisti citati come rete referral</x:v>
      </x:c>
      <x:c r="K8" s="32" t="str">
        <x:v>D: sì</x:v>
      </x:c>
      <x:c r="L8" s="32" t="str">
        <x:v>D: sì</x:v>
      </x:c>
      <x:c r="M8" s="32" t="str">
        <x:v>F: partner</x:v>
      </x:c>
      <x:c r="N8" s="32" t="str">
        <x:v>F: target 24h</x:v>
      </x:c>
      <x:c r="O8" s="32" t="str">
        <x:v>D: sì</x:v>
      </x:c>
      <x:c r="P8" s="32" t="str">
        <x:v>non trovato</x:v>
      </x:c>
      <x:c r="Q8" s="32" t="str">
        <x:v>non trovato</x:v>
      </x:c>
      <x:c r="R8" s="32" t="str">
        <x:v>non trovato</x:v>
      </x:c>
      <x:c r="S8" s="32" t="str">
        <x:v>non trovato</x:v>
      </x:c>
      <x:c r="T8" s="32" t="str">
        <x:v>non trovato</x:v>
      </x:c>
      <x:c r="U8" s="32" t="str">
        <x:v>F: documenti e approvazione partner</x:v>
      </x:c>
      <x:c r="V8" s="32" t="str">
        <x:v>F: responsabilità partner</x:v>
      </x:c>
      <x:c r="W8" s="32" t="str">
        <x:v>O: nuovi ordini sospesi per manutenzione</x:v>
      </x:c>
      <x:c r="X8" s="32" t="str">
        <x:v>non trovato</x:v>
      </x:c>
      <x:c r="Y8" s="32" t="str">
        <x:v>F: Stripe Connect; flusso attuale bloccato</x:v>
      </x:c>
      <x:c r="Z8" s="32" t="str">
        <x:v>F: sì</x:v>
      </x:c>
      <x:c r="AA8" s="32" t="str">
        <x:v>F: sì</x:v>
      </x:c>
      <x:c r="AB8" s="32" t="str">
        <x:v>non trovato</x:v>
      </x:c>
      <x:c r="AC8" s="32" t="str">
        <x:v>non trovato</x:v>
      </x:c>
      <x:c r="AD8" s="32" t="str">
        <x:v>O: €787/anno, headline €66/mese</x:v>
      </x:c>
      <x:c r="AE8" s="32" t="str">
        <x:v>F: percentuale in dashboard/accordo, non pubblica</x:v>
      </x:c>
      <x:c r="AF8" s="32" t="str">
        <x:v>D: rete commercialisti/legali e contenuti città</x:v>
      </x:c>
      <x:c r="AG8" s="32" t="str">
        <x:v>SEO locale; SEM non trovato</x:v>
      </x:c>
      <x:c r="AH8" s="32" t="str">
        <x:v>O: testimonianze includono Seatsmatch coworking, campione VO non isolabile</x:v>
      </x:c>
      <x:c r="AI8" s="32" t="str">
        <x:v>D: 500+ clienti; metrica non auditata</x:v>
      </x:c>
      <x:c r="AJ8" s="32" t="str">
        <x:v>non trovato</x:v>
      </x:c>
      <x:c r="AK8" s="32" t="str">
        <x:v>NF: bilancio attribuibile non acquisito nelle fonti consultate; nessuna stima di fatturato da traffico/clienti.</x:v>
      </x:c>
      <x:c r="AL8" s="32" t="str">
        <x:v>NF: nessun numero di visite attendibile acquisito; non equivale a zero.</x:v>
      </x:c>
      <x:c r="AM8" s="32" t="str">
        <x:v>mh, mt, mp</x:v>
      </x:c>
    </x:row>
    <x:row r="9" ht="74" customHeight="1">
      <x:c r="A9" s="31" t="str">
        <x:v>MatchOffice</x:v>
      </x:c>
      <x:c r="B9" s="31" t="str">
        <x:v>https://www.matchoffice.com/support/providers</x:v>
      </x:c>
      <x:c r="C9" s="31" t="str">
        <x:v>A/F</x:v>
      </x:c>
      <x:c r="D9" s="31" t="str">
        <x:v>Danimarca</x:v>
      </x:c>
      <x:c r="E9" s="31" t="str">
        <x:v>Italia e numerosi paesi UE, UK, CH, extra UE</x:v>
      </x:c>
      <x:c r="F9" s="31" t="str">
        <x:v>D: motore per città; copertura effettiva per servizio variabile</x:v>
      </x:c>
      <x:c r="G9" s="31" t="str">
        <x:v>2004 · fondazione dichiarata; sito online 2005</x:v>
      </x:c>
      <x:c r="H9" s="31" t="str">
        <x:v>Lead generation immobiliare</x:v>
      </x:c>
      <x:c r="I9" s="31" t="str">
        <x:v>Marketplace lead</x:v>
      </x:c>
      <x:c r="J9" s="31" t="str">
        <x:v>D: operatori e detentori spazi</x:v>
      </x:c>
      <x:c r="K9" s="31" t="str">
        <x:v>D: alcune offerte VO, da verificare</x:v>
      </x:c>
      <x:c r="L9" s="31" t="str">
        <x:v>D: VO</x:v>
      </x:c>
      <x:c r="M9" s="31" t="str">
        <x:v>D: secondo fornitore</x:v>
      </x:c>
      <x:c r="N9" s="31" t="str">
        <x:v>non trovato</x:v>
      </x:c>
      <x:c r="O9" s="31" t="str">
        <x:v>non trovato</x:v>
      </x:c>
      <x:c r="P9" s="31" t="str">
        <x:v>D: sì</x:v>
      </x:c>
      <x:c r="Q9" s="31" t="str">
        <x:v>D: sì</x:v>
      </x:c>
      <x:c r="R9" s="31" t="str">
        <x:v>D: sì</x:v>
      </x:c>
      <x:c r="S9" s="31" t="str">
        <x:v>non trovato</x:v>
      </x:c>
      <x:c r="T9" s="31" t="str">
        <x:v>non trovato</x:v>
      </x:c>
      <x:c r="U9" s="31" t="str">
        <x:v>non trovato</x:v>
      </x:c>
      <x:c r="V9" s="31" t="str">
        <x:v>non trovato</x:v>
      </x:c>
      <x:c r="W9" s="31" t="str">
        <x:v>non trovato</x:v>
      </x:c>
      <x:c r="X9" s="31" t="str">
        <x:v>non trovato</x:v>
      </x:c>
      <x:c r="Y9" s="31" t="str">
        <x:v>non trovato</x:v>
      </x:c>
      <x:c r="Z9" s="31" t="str">
        <x:v>non trovato</x:v>
      </x:c>
      <x:c r="AA9" s="31" t="str">
        <x:v>D: annunci e lead</x:v>
      </x:c>
      <x:c r="AB9" s="31" t="str">
        <x:v>non trovato</x:v>
      </x:c>
      <x:c r="AC9" s="31" t="str">
        <x:v>non trovato</x:v>
      </x:c>
      <x:c r="AD9" s="31" t="str">
        <x:v>D: per annuncio/fornitore</x:v>
      </x:c>
      <x:c r="AE9" s="31" t="str">
        <x:v>F: 12,5% primo anno canone base per locazioni; non estendere al VO</x:v>
      </x:c>
      <x:c r="AF9" s="31" t="str">
        <x:v>D: SEO localizzato e lead email/SMS</x:v>
      </x:c>
      <x:c r="AG9" s="31" t="str">
        <x:v>SEO internazionale; quota SEM non trovata</x:v>
      </x:c>
      <x:c r="AH9" s="31" t="str">
        <x:v>I: preventivi non equivalgono a gestione servizio</x:v>
      </x:c>
      <x:c r="AI9" s="31" t="str">
        <x:v>non trovato</x:v>
      </x:c>
      <x:c r="AJ9" s="31" t="str">
        <x:v>non trovato</x:v>
      </x:c>
      <x:c r="AK9" s="31" t="str">
        <x:v>NF: bilancio attribuibile non acquisito nelle fonti consultate; nessuna stima di fatturato da traffico/clienti.</x:v>
      </x:c>
      <x:c r="AL9" s="31" t="str">
        <x:v>NF: nessun numero di visite attendibile acquisito; non equivale a zero.</x:v>
      </x:c>
      <x:c r="AM9" s="31" t="str">
        <x:v>ma, my, mi, bp_match</x:v>
      </x:c>
    </x:row>
    <x:row r="10" ht="74" customHeight="1">
      <x:c r="A10" s="32" t="str">
        <x:v>Clevver</x:v>
      </x:c>
      <x:c r="B10" s="32" t="str">
        <x:v>https://www.clevver.io/en</x:v>
      </x:c>
      <x:c r="C10" s="32" t="str">
        <x:v>A/D/G</x:v>
      </x:c>
      <x:c r="D10" s="32" t="str">
        <x:v>Germania</x:v>
      </x:c>
      <x:c r="E10" s="32" t="str">
        <x:v>Europa, UK, USA e Asia; servizi per giurisdizione</x:v>
      </x:c>
      <x:c r="F10" s="32" t="str">
        <x:v>D: Milano Via della Moscova; Berlino e rete globale</x:v>
      </x:c>
      <x:c r="G10" s="32" t="str">
        <x:v>2013 · fondazione dichiarata, Berlino</x:v>
      </x:c>
      <x:c r="H10" s="32" t="str">
        <x:v>Rete di indirizzi + mailbox + formazione + software</x:v>
      </x:c>
      <x:c r="I10" s="32" t="str">
        <x:v>Rete con partner indipendenti</x:v>
      </x:c>
      <x:c r="J10" s="32" t="str">
        <x:v>D: uffici, coworking, mail center; caso studio legale dichiarato</x:v>
      </x:c>
      <x:c r="K10" s="32" t="str">
        <x:v>D: per location; Milano esplicitamente esclusa</x:v>
      </x:c>
      <x:c r="L10" s="32" t="str">
        <x:v>D: sì</x:v>
      </x:c>
      <x:c r="M10" s="32" t="str">
        <x:v>D: sì</x:v>
      </x:c>
      <x:c r="N10" s="32" t="str">
        <x:v>D: app/OCR</x:v>
      </x:c>
      <x:c r="O10" s="32" t="str">
        <x:v>D: mondiale</x:v>
      </x:c>
      <x:c r="P10" s="32" t="str">
        <x:v>non trovato</x:v>
      </x:c>
      <x:c r="Q10" s="32" t="str">
        <x:v>non trovato</x:v>
      </x:c>
      <x:c r="R10" s="32" t="str">
        <x:v>non trovato</x:v>
      </x:c>
      <x:c r="S10" s="32" t="str">
        <x:v>D: più giurisdizioni</x:v>
      </x:c>
      <x:c r="T10" s="32" t="str">
        <x:v>D: professionisti locali</x:v>
      </x:c>
      <x:c r="U10" s="32" t="str">
        <x:v>F: online e liveness, fino 72h lavorative</x:v>
      </x:c>
      <x:c r="V10" s="32" t="str">
        <x:v>F: enterprise verifica propri clienti salvo accordo separato</x:v>
      </x:c>
      <x:c r="W10" s="32" t="str">
        <x:v>D: sì</x:v>
      </x:c>
      <x:c r="X10" s="32" t="str">
        <x:v>non trovato</x:v>
      </x:c>
      <x:c r="Y10" s="32" t="str">
        <x:v>D: sì</x:v>
      </x:c>
      <x:c r="Z10" s="32" t="str">
        <x:v>D: app e browser</x:v>
      </x:c>
      <x:c r="AA10" s="32" t="str">
        <x:v>D: software operativo</x:v>
      </x:c>
      <x:c r="AB10" s="32" t="str">
        <x:v>D: enterprise</x:v>
      </x:c>
      <x:c r="AC10" s="32" t="str">
        <x:v>D: enterprise</x:v>
      </x:c>
      <x:c r="AD10" s="32" t="str">
        <x:v>D: Milano €12,95/mese annuale nel dettaglio, header €24,95 incoerente</x:v>
      </x:c>
      <x:c r="AE10" s="32" t="str">
        <x:v>D: quota mailbox e servizi; percentuali non trovate</x:v>
      </x:c>
      <x:c r="AF10" s="32" t="str">
        <x:v>D: SEO globale, partner, enterprise</x:v>
      </x:c>
      <x:c r="AG10" s="32" t="str">
        <x:v>Pagine città/prodotto; SEM non trovato</x:v>
      </x:c>
      <x:c r="AH10" s="32" t="str">
        <x:v>F: incongruenze prezzi, copertura e claim legali nella pagina Milano</x:v>
      </x:c>
      <x:c r="AI10" s="32" t="str">
        <x:v>D: 15.000+ clienti; 43 vs 70+ location in pagine diverse</x:v>
      </x:c>
      <x:c r="AJ10" s="32" t="str">
        <x:v>non trovato</x:v>
      </x:c>
      <x:c r="AK10" s="32" t="str">
        <x:v>NF: bilancio attribuibile non acquisito nelle fonti consultate; nessuna stima di fatturato da traffico/clienti.</x:v>
      </x:c>
      <x:c r="AL10" s="32" t="str">
        <x:v>NF: nessun numero di visite attendibile acquisito; non equivale a zero.</x:v>
      </x:c>
      <x:c r="AM10" s="32" t="str">
        <x:v>ch, ca, cp, ct, cm, cc, cf, bp_clev</x:v>
      </x:c>
    </x:row>
    <x:row r="11" ht="165" customHeight="1">
      <x:c r="A11" s="31" t="str">
        <x:v>SeDomicilier</x:v>
      </x:c>
      <x:c r="B11" s="31" t="str">
        <x:v>https://sedomicilier.fr/</x:v>
      </x:c>
      <x:c r="C11" s="31" t="str">
        <x:v>A/D</x:v>
      </x:c>
      <x:c r="D11" s="31" t="str">
        <x:v>Francia</x:v>
      </x:c>
      <x:c r="E11" s="31" t="str">
        <x:v>Francia; sito Belgio separato</x:v>
      </x:c>
      <x:c r="F11" s="31" t="str">
        <x:v>D: 25+ città; Paris e principali centri</x:v>
      </x:c>
      <x:c r="G11" s="31" t="str">
        <x:v>10/05/2016 · costituzione SeDomicilier SAS</x:v>
      </x:c>
      <x:c r="H11" s="31" t="str">
        <x:v>Distribuzione digitale di domiciliazioni e formalità</x:v>
      </x:c>
      <x:c r="I11" s="31" t="str">
        <x:v>Piattaforma con società domiciliatarie</x:v>
      </x:c>
      <x:c r="J11" s="31" t="str">
        <x:v>F: società domiciliazione; affiliate distinto da host</x:v>
      </x:c>
      <x:c r="K11" s="31" t="str">
        <x:v>D: sì</x:v>
      </x:c>
      <x:c r="L11" s="31" t="str">
        <x:v>D: sì</x:v>
      </x:c>
      <x:c r="M11" s="31" t="str">
        <x:v>D: sì</x:v>
      </x:c>
      <x:c r="N11" s="31" t="str">
        <x:v>D: entro 72h lavorative</x:v>
      </x:c>
      <x:c r="O11" s="31" t="str">
        <x:v>D: extra</x:v>
      </x:c>
      <x:c r="P11" s="31" t="str">
        <x:v>F: eventuale rapporto diretto con partner</x:v>
      </x:c>
      <x:c r="Q11" s="31" t="str">
        <x:v>non trovato</x:v>
      </x:c>
      <x:c r="R11" s="31" t="str">
        <x:v>non trovato</x:v>
      </x:c>
      <x:c r="S11" s="31" t="str">
        <x:v>D: formalità, costi legali esclusi</x:v>
      </x:c>
      <x:c r="T11" s="31" t="str">
        <x:v>non trovato</x:v>
      </x:c>
      <x:c r="U11" s="31" t="str">
        <x:v>F: dossier prima contratto</x:v>
      </x:c>
      <x:c r="V11" s="31" t="str">
        <x:v>F: obblighi del domiciliatario</x:v>
      </x:c>
      <x:c r="W11" s="31" t="str">
        <x:v>O: 8 fasi mostrate, contatti al secondo step</x:v>
      </x:c>
      <x:c r="X11" s="31" t="str">
        <x:v>non trovato</x:v>
      </x:c>
      <x:c r="Y11" s="31" t="str">
        <x:v>F: Stripe</x:v>
      </x:c>
      <x:c r="Z11" s="31" t="str">
        <x:v>D: posta e documenti</x:v>
      </x:c>
      <x:c r="AA11" s="31" t="str">
        <x:v>non trovato</x:v>
      </x:c>
      <x:c r="AB11" s="31" t="str">
        <x:v>non trovato</x:v>
      </x:c>
      <x:c r="AC11" s="31" t="str">
        <x:v>non trovato</x:v>
      </x:c>
      <x:c r="AD11" s="31" t="str">
        <x:v>O: società da €20 HT/mese; €14 con anticipo 36 mesi; micro da €16</x:v>
      </x:c>
      <x:c r="AE11" s="31" t="str">
        <x:v>non trovato</x:v>
      </x:c>
      <x:c r="AF11" s="31" t="str">
        <x:v>D: SEO, promo, affiliazione</x:v>
      </x:c>
      <x:c r="AG11" s="31" t="str">
        <x:v>Contenuti e pagine locali; spesa SEM non trovata</x:v>
      </x:c>
      <x:c r="AH11" s="31" t="str">
        <x:v>S: Trustpilot 4,3/5, 1.227; facilità/supporto, alcuni ritardi dossier</x:v>
      </x:c>
      <x:c r="AI11" s="31" t="str">
        <x:v>D: 75.000+ imprenditori, non clienti attivi verificati</x:v>
      </x:c>
      <x:c r="AJ11" s="31" t="str">
        <x:v>non trovato</x:v>
      </x:c>
      <x:c r="AK11" s="31" t="str">
        <x:v>2025 · EUR · SeDomicilier SAS · fonte secondaria — Pappers riporta utile circa 92.700, cassa 1,49 milioni, debiti finanziari 147.000, PN 529.000. Fatturato non disponibile per riservatezza parziale; valori arrotondati da verificare sul deposito originale prima di una decisione di investimento.</x:v>
      </x:c>
      <x:c r="AL11" s="31" t="str">
        <x:v>NF: nessun numero di visite attendibile acquisito; non equivale a zero.</x:v>
      </x:c>
      <x:c r="AM11" s="31" t="str">
        <x:v>sh, sp, st, sx, sa, sr, bp_sedom, bp_sedfin</x:v>
      </x:c>
    </x:row>
    <x:row r="12" ht="152" customHeight="1">
      <x:c r="A12" s="32" t="str">
        <x:v>Virtual HQ</x:v>
      </x:c>
      <x:c r="B12" s="32" t="str">
        <x:v>https://www.virtual-headquarters.com/</x:v>
      </x:c>
      <x:c r="C12" s="32" t="str">
        <x:v>A</x:v>
      </x:c>
      <x:c r="D12" s="32" t="str">
        <x:v>Regno Unito</x:v>
      </x:c>
      <x:c r="E12" s="32" t="str">
        <x:v>Regno Unito</x:v>
      </x:c>
      <x:c r="F12" s="32" t="str">
        <x:v>non trovato</x:v>
      </x:c>
      <x:c r="G12" s="32" t="str">
        <x:v>23/04/2015 · incorporazione 09556484</x:v>
      </x:c>
      <x:c r="H12" s="32" t="str">
        <x:v>Gestione commerciale per centri indipendenti</x:v>
      </x:c>
      <x:c r="I12" s="32" t="str">
        <x:v>Rete gestita</x:v>
      </x:c>
      <x:c r="J12" s="32" t="str">
        <x:v>F: locali autorizzati, posta e accesso spazi</x:v>
      </x:c>
      <x:c r="K12" s="32" t="str">
        <x:v>D: opzione</x:v>
      </x:c>
      <x:c r="L12" s="32" t="str">
        <x:v>D: sì</x:v>
      </x:c>
      <x:c r="M12" s="32" t="str">
        <x:v>F: locale</x:v>
      </x:c>
      <x:c r="N12" s="32" t="str">
        <x:v>D: secondo sede</x:v>
      </x:c>
      <x:c r="O12" s="32" t="str">
        <x:v>F: sì</x:v>
      </x:c>
      <x:c r="P12" s="32" t="str">
        <x:v>F: prenotazioni</x:v>
      </x:c>
      <x:c r="Q12" s="32" t="str">
        <x:v>F: referral</x:v>
      </x:c>
      <x:c r="R12" s="32" t="str">
        <x:v>F: bundle</x:v>
      </x:c>
      <x:c r="S12" s="32" t="str">
        <x:v>non trovato</x:v>
      </x:c>
      <x:c r="T12" s="32" t="str">
        <x:v>non trovato</x:v>
      </x:c>
      <x:c r="U12" s="32" t="str">
        <x:v>F: dossier condiviso</x:v>
      </x:c>
      <x:c r="V12" s="32" t="str">
        <x:v>F: procedure partner; posizione propria da verificare</x:v>
      </x:c>
      <x:c r="W12" s="32" t="str">
        <x:v>D: sì</x:v>
      </x:c>
      <x:c r="X12" s="32" t="str">
        <x:v>non trovato</x:v>
      </x:c>
      <x:c r="Y12" s="32" t="str">
        <x:v>non trovato</x:v>
      </x:c>
      <x:c r="Z12" s="32" t="str">
        <x:v>non trovato</x:v>
      </x:c>
      <x:c r="AA12" s="32" t="str">
        <x:v>non trovato</x:v>
      </x:c>
      <x:c r="AB12" s="32" t="str">
        <x:v>non trovato</x:v>
      </x:c>
      <x:c r="AC12" s="32" t="str">
        <x:v>non trovato</x:v>
      </x:c>
      <x:c r="AD12" s="32" t="str">
        <x:v>D: da £25/mese</x:v>
      </x:c>
      <x:c r="AE12" s="32" t="str">
        <x:v>F: prezzo wholesale privato; contributo costo AML sito nel modello</x:v>
      </x:c>
      <x:c r="AF12" s="32" t="str">
        <x:v>F: marketing centrale, cross-sell locali</x:v>
      </x:c>
      <x:c r="AG12" s="32" t="str">
        <x:v>SEO città; SEM non trovato</x:v>
      </x:c>
      <x:c r="AH12" s="32" t="str">
        <x:v>S: Trustpilot 4,4/5, 412; campione non rappresentativo</x:v>
      </x:c>
      <x:c r="AI12" s="32" t="str">
        <x:v>D: 152 location</x:v>
      </x:c>
      <x:c r="AJ12" s="32" t="str">
        <x:v>non trovato</x:v>
      </x:c>
      <x:c r="AK12" s="32" t="str">
        <x:v>31/12/2025 · GBP · società 09556484 — Cassa 249.914; crediti 156.382; passività entro 12 mesi 468.473; patrimonio netto 225. Ricavi e utile non pubblicati nel deposito consultato; non derivare utile dalla variazione delle riserve. Bilancio small company esente da audit.</x:v>
      </x:c>
      <x:c r="AL12" s="32" t="str">
        <x:v>NF: nessun numero di visite attendibile acquisito; non equivale a zero.</x:v>
      </x:c>
      <x:c r="AM12" s="32" t="str">
        <x:v>vh, vt, va, vr, bp_vhq, bp_vhqacc</x:v>
      </x:c>
    </x:row>
    <x:row r="13" ht="139" customHeight="1">
      <x:c r="A13" s="31" t="str">
        <x:v>Hoxton Mix</x:v>
      </x:c>
      <x:c r="B13" s="31" t="str">
        <x:v>https://www.hoxtonmix.com/</x:v>
      </x:c>
      <x:c r="C13" s="31" t="str">
        <x:v>B/G</x:v>
      </x:c>
      <x:c r="D13" s="31" t="str">
        <x:v>Regno Unito</x:v>
      </x:c>
      <x:c r="E13" s="31" t="str">
        <x:v>UK; Sydney pubblicizzata</x:v>
      </x:c>
      <x:c r="F13" s="31" t="str">
        <x:v>D: London e Sydney</x:v>
      </x:c>
      <x:c r="G13" s="31" t="str">
        <x:v>06/04/2010 · incorporazione 07212205</x:v>
      </x:c>
      <x:c r="H13" s="31" t="str">
        <x:v>Indirizzo e mail distribuiti B2B2B/API</x:v>
      </x:c>
      <x:c r="I13" s="31" t="str">
        <x:v>Servizio gestito + reseller</x:v>
      </x:c>
      <x:c r="J13" s="31" t="str">
        <x:v>D: banche, fintech, commercialisti, formation agent; non host accertati</x:v>
      </x:c>
      <x:c r="K13" s="31" t="str">
        <x:v>D: registered office/director service</x:v>
      </x:c>
      <x:c r="L13" s="31" t="str">
        <x:v>D: sì</x:v>
      </x:c>
      <x:c r="M13" s="31" t="str">
        <x:v>D: sì</x:v>
      </x:c>
      <x:c r="N13" s="31" t="str">
        <x:v>D: un giorno lavorativo</x:v>
      </x:c>
      <x:c r="O13" s="31" t="str">
        <x:v>D: extra</x:v>
      </x:c>
      <x:c r="P13" s="31" t="str">
        <x:v>non trovato</x:v>
      </x:c>
      <x:c r="Q13" s="31" t="str">
        <x:v>non trovato</x:v>
      </x:c>
      <x:c r="R13" s="31" t="str">
        <x:v>non trovato</x:v>
      </x:c>
      <x:c r="S13" s="31" t="str">
        <x:v>non trovato</x:v>
      </x:c>
      <x:c r="T13" s="31" t="str">
        <x:v>non trovato</x:v>
      </x:c>
      <x:c r="U13" s="31" t="str">
        <x:v>D: controlli compliance; procedura dettagliata non trovata</x:v>
      </x:c>
      <x:c r="V13" s="31" t="str">
        <x:v>D: registrazione HMRC riportata</x:v>
      </x:c>
      <x:c r="W13" s="31" t="str">
        <x:v>non trovato</x:v>
      </x:c>
      <x:c r="X13" s="31" t="str">
        <x:v>non trovato</x:v>
      </x:c>
      <x:c r="Y13" s="31" t="str">
        <x:v>non trovato</x:v>
      </x:c>
      <x:c r="Z13" s="31" t="str">
        <x:v>D: gestione documenti</x:v>
      </x:c>
      <x:c r="AA13" s="31" t="str">
        <x:v>D: sì</x:v>
      </x:c>
      <x:c r="AB13" s="31" t="str">
        <x:v>D: REST</x:v>
      </x:c>
      <x:c r="AC13" s="31" t="str">
        <x:v>D: sì</x:v>
      </x:c>
      <x:c r="AD13" s="31" t="str">
        <x:v>non trovato</x:v>
      </x:c>
      <x:c r="AE13" s="31" t="str">
        <x:v>D: reseller determina proprio prezzo</x:v>
      </x:c>
      <x:c r="AF13" s="31" t="str">
        <x:v>D: Tide, ANNA, studi e API</x:v>
      </x:c>
      <x:c r="AG13" s="31" t="str">
        <x:v>SEO prodotto; SEM non trovato</x:v>
      </x:c>
      <x:c r="AH13" s="31" t="str">
        <x:v>non trovato</x:v>
      </x:c>
      <x:c r="AI13" s="31" t="str">
        <x:v>D: 100+ partner; 100.000+ clienti serviti cumulativi enterprise</x:v>
      </x:c>
      <x:c r="AJ13" s="31" t="str">
        <x:v>non trovato</x:v>
      </x:c>
      <x:c r="AK13" s="31" t="str">
        <x:v>30/04/2025 · GBP · società 07212205 — Utile 599.021 (2024: 691.253), da prospetto variazioni PN; cassa 405.394; PN 135.699; passività entro 12 mesi 1.938.746; dividendi 1.050.000. Ricavi non depositati. Bilancio small company esente da audit.</x:v>
      </x:c>
      <x:c r="AL13" s="31" t="str">
        <x:v>NF: nessun numero di visite attendibile acquisito; non equivale a zero.</x:v>
      </x:c>
      <x:c r="AM13" s="31" t="str">
        <x:v>hh, he, bp_hox, bp_hoxacc</x:v>
      </x:c>
    </x:row>
    <x:row r="14" ht="113" customHeight="1">
      <x:c r="A14" s="32" t="str">
        <x:v>IWG / Regus / Copernico</x:v>
      </x:c>
      <x:c r="B14" s="32" t="str">
        <x:v>https://www.regus.com/it/it/milan/virtual-offices</x:v>
      </x:c>
      <x:c r="C14" s="32" t="str">
        <x:v>B</x:v>
      </x:c>
      <x:c r="D14" s="32" t="str">
        <x:v>Regus: UK; gruppo IWG internazionale</x:v>
      </x:c>
      <x:c r="E14" s="32" t="str">
        <x:v>Italia, UE, UK, CH e globale</x:v>
      </x:c>
      <x:c r="F14" s="32" t="str">
        <x:v>D: Milano, Roma, Torino e rete mondiale</x:v>
      </x:c>
      <x:c r="G14" s="32" t="str">
        <x:v>non trovato</x:v>
      </x:c>
      <x:c r="H14" s="32" t="str">
        <x:v>Rete branded, centri gestiti e franchising</x:v>
      </x:c>
      <x:c r="I14" s="32" t="str">
        <x:v>Ibrido company-owned/managed/franchise</x:v>
      </x:c>
      <x:c r="J14" s="32" t="str">
        <x:v>F: property partner e franchise</x:v>
      </x:c>
      <x:c r="K14" s="32" t="str">
        <x:v>D: secondo pacchetto/centro</x:v>
      </x:c>
      <x:c r="L14" s="32" t="str">
        <x:v>D: sì</x:v>
      </x:c>
      <x:c r="M14" s="32" t="str">
        <x:v>D: sì</x:v>
      </x:c>
      <x:c r="N14" s="32" t="str">
        <x:v>D: Copernico, extra secondo sede</x:v>
      </x:c>
      <x:c r="O14" s="32" t="str">
        <x:v>D: sì</x:v>
      </x:c>
      <x:c r="P14" s="32" t="str">
        <x:v>D: sì</x:v>
      </x:c>
      <x:c r="Q14" s="32" t="str">
        <x:v>D: sì</x:v>
      </x:c>
      <x:c r="R14" s="32" t="str">
        <x:v>D: sì</x:v>
      </x:c>
      <x:c r="S14" s="32" t="str">
        <x:v>non trovato</x:v>
      </x:c>
      <x:c r="T14" s="32" t="str">
        <x:v>non trovato</x:v>
      </x:c>
      <x:c r="U14" s="32" t="str">
        <x:v>non trovato</x:v>
      </x:c>
      <x:c r="V14" s="32" t="str">
        <x:v>non trovato</x:v>
      </x:c>
      <x:c r="W14" s="32" t="str">
        <x:v>D: percorso digitale e vendita assistita</x:v>
      </x:c>
      <x:c r="X14" s="32" t="str">
        <x:v>non trovato</x:v>
      </x:c>
      <x:c r="Y14" s="32" t="str">
        <x:v>non trovato</x:v>
      </x:c>
      <x:c r="Z14" s="32" t="str">
        <x:v>D: app prenotazioni</x:v>
      </x:c>
      <x:c r="AA14" s="32" t="str">
        <x:v>non trovato</x:v>
      </x:c>
      <x:c r="AB14" s="32" t="str">
        <x:v>non trovato</x:v>
      </x:c>
      <x:c r="AC14" s="32" t="str">
        <x:v>non trovato</x:v>
      </x:c>
      <x:c r="AD14" s="32" t="str">
        <x:v>non trovato: preventivo comparabile aggiornato Milano/Roma</x:v>
      </x:c>
      <x:c r="AE14" s="32" t="str">
        <x:v>non trovato</x:v>
      </x:c>
      <x:c r="AF14" s="32" t="str">
        <x:v>D: brand, SEO città, rete, partnership immobiliari</x:v>
      </x:c>
      <x:c r="AG14" s="32" t="str">
        <x:v>Presenza organica ampia; investimenti SEM non trovati</x:v>
      </x:c>
      <x:c r="AH14" s="32" t="str">
        <x:v>non trovato</x:v>
      </x:c>
      <x:c r="AI14" s="32" t="str">
        <x:v>F: 4.609 centri fine 2025, di cui 1.891 managed/franchise; non numero VO</x:v>
      </x:c>
      <x:c r="AJ14" s="32" t="str">
        <x:v>F: gruppo quotato; risultati pubblici</x:v>
      </x:c>
      <x:c r="AK14" s="32" t="str">
        <x:v>2025 · USD · gruppo globale — Ricavi gruppo 3.762 milioni; system-wide 4,5 miliardi (metrica diversa); EBITDA adjusted 531 milioni. Il fatturato della sola domiciliazione e di Copernico non è separato.</x:v>
      </x:c>
      <x:c r="AL14" s="32" t="str">
        <x:v>regus.com: 1,59 milioni visite stimate, luglio 2026, mondo, tutti dispositivi; Semrush</x:v>
      </x:c>
      <x:c r="AM14" s="32" t="str">
        <x:v>rm, rr, ir, co, bp_iwgfin</x:v>
      </x:c>
    </x:row>
    <x:row r="15" ht="139" customHeight="1">
      <x:c r="A15" s="31" t="str">
        <x:v>LexDo.it</x:v>
      </x:c>
      <x:c r="B15" s="31" t="str">
        <x:v>https://www.lexdo.it/d/costituzione-societa-srl-srls/domiciliazione-legale/</x:v>
      </x:c>
      <x:c r="C15" s="31" t="str">
        <x:v>D</x:v>
      </x:c>
      <x:c r="D15" s="31" t="str">
        <x:v>Italia</x:v>
      </x:c>
      <x:c r="E15" s="31" t="str">
        <x:v>Italia</x:v>
      </x:c>
      <x:c r="F15" s="31" t="str">
        <x:v>D: Milano</x:v>
      </x:c>
      <x:c r="G15" s="31" t="str">
        <x:v>2015 · fondazione dichiarata</x:v>
      </x:c>
      <x:c r="H15" s="31" t="str">
        <x:v>LegalTech + professionisti + domiciliazione terza</x:v>
      </x:c>
      <x:c r="I15" s="31" t="str">
        <x:v>Piattaforma servizi con fornitori esterni</x:v>
      </x:c>
      <x:c r="J15" s="31" t="str">
        <x:v>F: professionisti e società domiciliataria separata</x:v>
      </x:c>
      <x:c r="K15" s="31" t="str">
        <x:v>D: sì</x:v>
      </x:c>
      <x:c r="L15" s="31" t="str">
        <x:v>D: sì</x:v>
      </x:c>
      <x:c r="M15" s="31" t="str">
        <x:v>D: sì</x:v>
      </x:c>
      <x:c r="N15" s="31" t="str">
        <x:v>D: digitale/email</x:v>
      </x:c>
      <x:c r="O15" s="31" t="str">
        <x:v>non trovato</x:v>
      </x:c>
      <x:c r="P15" s="31" t="str">
        <x:v>non trovato</x:v>
      </x:c>
      <x:c r="Q15" s="31" t="str">
        <x:v>non trovato</x:v>
      </x:c>
      <x:c r="R15" s="31" t="str">
        <x:v>non trovato</x:v>
      </x:c>
      <x:c r="S15" s="31" t="str">
        <x:v>D: SRL/SRLS, online</x:v>
      </x:c>
      <x:c r="T15" s="31" t="str">
        <x:v>D: rete professionale/consulenza; pacchetto contabile non verificato</x:v>
      </x:c>
      <x:c r="U15" s="31" t="str">
        <x:v>non trovato</x:v>
      </x:c>
      <x:c r="V15" s="31" t="str">
        <x:v>non trovato</x:v>
      </x:c>
      <x:c r="W15" s="31" t="str">
        <x:v>D: sì</x:v>
      </x:c>
      <x:c r="X15" s="31" t="str">
        <x:v>non trovato</x:v>
      </x:c>
      <x:c r="Y15" s="31" t="str">
        <x:v>non trovato</x:v>
      </x:c>
      <x:c r="Z15" s="31" t="str">
        <x:v>F: area servizi</x:v>
      </x:c>
      <x:c r="AA15" s="31" t="str">
        <x:v>non trovato</x:v>
      </x:c>
      <x:c r="AB15" s="31" t="str">
        <x:v>non trovato</x:v>
      </x:c>
      <x:c r="AC15" s="31" t="str">
        <x:v>non trovato</x:v>
      </x:c>
      <x:c r="AD15" s="31" t="str">
        <x:v>D: da €49 + IVA; periodicità non esplicita nella pagina esaminata</x:v>
      </x:c>
      <x:c r="AE15" s="31" t="str">
        <x:v>F: mandato professionale separato; percentuali non trovate</x:v>
      </x:c>
      <x:c r="AF15" s="31" t="str">
        <x:v>D: contenuti giuridici e costituzione</x:v>
      </x:c>
      <x:c r="AG15" s="31" t="str">
        <x:v>SEO informativo/transazionale; SEM non trovato</x:v>
      </x:c>
      <x:c r="AH15" s="31" t="str">
        <x:v>I: più controparti contrattuali</x:v>
      </x:c>
      <x:c r="AI15" s="31" t="str">
        <x:v>non trovato</x:v>
      </x:c>
      <x:c r="AJ15" s="31" t="str">
        <x:v>non trovato</x:v>
      </x:c>
      <x:c r="AK15" s="31" t="str">
        <x:v>2024 · EUR · SRL P.IVA09021520961 · fonte secondaria — Aziende.it riporta ricavi2.202.871 e perdita114.194. Bilancio originale non acquisito; non usata la stima2025 di un diverso aggregatore con etichettatura ambigua tra stima e dato ufficiale.</x:v>
      </x:c>
      <x:c r="AL15" s="31" t="str">
        <x:v>lexdo.it: 112.520 visite stimate, luglio 2026, mondo; Italia 106.320; Semrush</x:v>
      </x:c>
      <x:c r="AM15" s="31" t="str">
        <x:v>lx, lt, bp_lexfound, bp_lexfin</x:v>
      </x:c>
    </x:row>
    <x:row r="16" ht="74" customHeight="1">
      <x:c r="A16" s="32" t="str">
        <x:v>Rete Commercialisti</x:v>
      </x:c>
      <x:c r="B16" s="32" t="str">
        <x:v>https://retecommercialisti.it/service/56/domiciliazione-societa</x:v>
      </x:c>
      <x:c r="C16" s="32" t="str">
        <x:v>E/C</x:v>
      </x:c>
      <x:c r="D16" s="32" t="str">
        <x:v>Italia</x:v>
      </x:c>
      <x:c r="E16" s="32" t="str">
        <x:v>Italia</x:v>
      </x:c>
      <x:c r="F16" s="32" t="str">
        <x:v>D: ricerca territoriale nazionale</x:v>
      </x:c>
      <x:c r="G16" s="32" t="str">
        <x:v>non trovato</x:v>
      </x:c>
      <x:c r="H16" s="32" t="str">
        <x:v>Rete di professionisti, offerta domiciliazione</x:v>
      </x:c>
      <x:c r="I16" s="32" t="str">
        <x:v>Directory/rete professionale</x:v>
      </x:c>
      <x:c r="J16" s="32" t="str">
        <x:v>D: commercialisti</x:v>
      </x:c>
      <x:c r="K16" s="32" t="str">
        <x:v>D: presso studi della rete</x:v>
      </x:c>
      <x:c r="L16" s="32" t="str">
        <x:v>D: recapito societario</x:v>
      </x:c>
      <x:c r="M16" s="32" t="str">
        <x:v>D: gestione corrispondenza</x:v>
      </x:c>
      <x:c r="N16" s="32" t="str">
        <x:v>non trovato</x:v>
      </x:c>
      <x:c r="O16" s="32" t="str">
        <x:v>non trovato</x:v>
      </x:c>
      <x:c r="P16" s="32" t="str">
        <x:v>non trovato</x:v>
      </x:c>
      <x:c r="Q16" s="32" t="str">
        <x:v>non trovato</x:v>
      </x:c>
      <x:c r="R16" s="32" t="str">
        <x:v>non trovato</x:v>
      </x:c>
      <x:c r="S16" s="32" t="str">
        <x:v>non trovato</x:v>
      </x:c>
      <x:c r="T16" s="32" t="str">
        <x:v>D: sì</x:v>
      </x:c>
      <x:c r="U16" s="32" t="str">
        <x:v>non trovato</x:v>
      </x:c>
      <x:c r="V16" s="32" t="str">
        <x:v>non trovato</x:v>
      </x:c>
      <x:c r="W16" s="32" t="str">
        <x:v>non trovato</x:v>
      </x:c>
      <x:c r="X16" s="32" t="str">
        <x:v>non trovato</x:v>
      </x:c>
      <x:c r="Y16" s="32" t="str">
        <x:v>non trovato</x:v>
      </x:c>
      <x:c r="Z16" s="32" t="str">
        <x:v>non trovato</x:v>
      </x:c>
      <x:c r="AA16" s="32" t="str">
        <x:v>non trovato</x:v>
      </x:c>
      <x:c r="AB16" s="32" t="str">
        <x:v>non trovato</x:v>
      </x:c>
      <x:c r="AC16" s="32" t="str">
        <x:v>non trovato</x:v>
      </x:c>
      <x:c r="AD16" s="32" t="str">
        <x:v>non trovato per domiciliazione; profili professionali Free/Basic</x:v>
      </x:c>
      <x:c r="AE16" s="32" t="str">
        <x:v>non trovato: abbonamenti profili non sono fee domiciliazione</x:v>
      </x:c>
      <x:c r="AF16" s="32" t="str">
        <x:v>D: ricerca professionista e pagine servizi</x:v>
      </x:c>
      <x:c r="AG16" s="32" t="str">
        <x:v>SEO servizi e territori; SEM non trovato</x:v>
      </x:c>
      <x:c r="AH16" s="32" t="str">
        <x:v>I: nessuna prova pubblica di checkout/mailbox unificati</x:v>
      </x:c>
      <x:c r="AI16" s="32" t="str">
        <x:v>non trovato</x:v>
      </x:c>
      <x:c r="AJ16" s="32" t="str">
        <x:v>non trovato</x:v>
      </x:c>
      <x:c r="AK16" s="32" t="str">
        <x:v>NF: bilancio attribuibile non acquisito nelle fonti consultate; nessuna stima di fatturato da traffico/clienti.</x:v>
      </x:c>
      <x:c r="AL16" s="32" t="str">
        <x:v>NF: nessun numero di visite attendibile acquisito; non equivale a zero.</x:v>
      </x:c>
      <x:c r="AM16" s="32" t="str">
        <x:v>rc, rp</x:v>
      </x:c>
    </x:row>
    <x:row r="17" ht="74" customHeight="1">
      <x:c r="A17" s="31" t="str">
        <x:v>CowoCheConta / Ellequadra</x:v>
      </x:c>
      <x:c r="B17" s="31" t="str">
        <x:v>https://www.coworkingcheconta.it/sede-legale-a-milano-centro/</x:v>
      </x:c>
      <x:c r="C17" s="31" t="str">
        <x:v>C/E</x:v>
      </x:c>
      <x:c r="D17" s="31" t="str">
        <x:v>Italia</x:v>
      </x:c>
      <x:c r="E17" s="31" t="str">
        <x:v>Italia</x:v>
      </x:c>
      <x:c r="F17" s="31" t="str">
        <x:v>Milano, piazza San Sepolcro 2</x:v>
      </x:c>
      <x:c r="G17" s="31" t="str">
        <x:v>non trovato</x:v>
      </x:c>
      <x:c r="H17" s="31" t="str">
        <x:v>Studio contabile e coworking integrati</x:v>
      </x:c>
      <x:c r="I17" s="31" t="str">
        <x:v>Operatore locale</x:v>
      </x:c>
      <x:c r="J17" s="31" t="str">
        <x:v>D: studio contabile; qualifica individuale albo non verificata</x:v>
      </x:c>
      <x:c r="K17" s="31" t="str">
        <x:v>D: sì, anche senza coworking</x:v>
      </x:c>
      <x:c r="L17" s="31" t="str">
        <x:v>D: sì</x:v>
      </x:c>
      <x:c r="M17" s="31" t="str">
        <x:v>D: sì</x:v>
      </x:c>
      <x:c r="N17" s="31" t="str">
        <x:v>non trovato</x:v>
      </x:c>
      <x:c r="O17" s="31" t="str">
        <x:v>non trovato</x:v>
      </x:c>
      <x:c r="P17" s="31" t="str">
        <x:v>D: sì</x:v>
      </x:c>
      <x:c r="Q17" s="31" t="str">
        <x:v>D: sì</x:v>
      </x:c>
      <x:c r="R17" s="31" t="str">
        <x:v>D: sì</x:v>
      </x:c>
      <x:c r="S17" s="31" t="str">
        <x:v>non trovato</x:v>
      </x:c>
      <x:c r="T17" s="31" t="str">
        <x:v>D: consulenza contabile/fiscale</x:v>
      </x:c>
      <x:c r="U17" s="31" t="str">
        <x:v>non trovato</x:v>
      </x:c>
      <x:c r="V17" s="31" t="str">
        <x:v>non trovato</x:v>
      </x:c>
      <x:c r="W17" s="31" t="str">
        <x:v>non trovato</x:v>
      </x:c>
      <x:c r="X17" s="31" t="str">
        <x:v>non trovato</x:v>
      </x:c>
      <x:c r="Y17" s="31" t="str">
        <x:v>non trovato</x:v>
      </x:c>
      <x:c r="Z17" s="31" t="str">
        <x:v>non trovato</x:v>
      </x:c>
      <x:c r="AA17" s="31" t="str">
        <x:v>non trovato</x:v>
      </x:c>
      <x:c r="AB17" s="31" t="str">
        <x:v>non trovato</x:v>
      </x:c>
      <x:c r="AC17" s="31" t="str">
        <x:v>non trovato</x:v>
      </x:c>
      <x:c r="AD17" s="31" t="str">
        <x:v>non trovato</x:v>
      </x:c>
      <x:c r="AE17" s="31" t="str">
        <x:v>non trovato</x:v>
      </x:c>
      <x:c r="AF17" s="31" t="str">
        <x:v>D: Cowo e offerta integrata</x:v>
      </x:c>
      <x:c r="AG17" s="31" t="str">
        <x:v>SEO locale; SEM non trovato</x:v>
      </x:c>
      <x:c r="AH17" s="31" t="str">
        <x:v>non trovato</x:v>
      </x:c>
      <x:c r="AI17" s="31" t="str">
        <x:v>non trovato</x:v>
      </x:c>
      <x:c r="AJ17" s="31" t="str">
        <x:v>non trovato</x:v>
      </x:c>
      <x:c r="AK17" s="31" t="str">
        <x:v>NF: bilancio attribuibile non acquisito nelle fonti consultate; nessuna stima di fatturato da traffico/clienti.</x:v>
      </x:c>
      <x:c r="AL17" s="31" t="str">
        <x:v>NF: nessun numero di visite attendibile acquisito; non equivale a zero.</x:v>
      </x:c>
      <x:c r="AM17" s="31" t="str">
        <x:v>ce, ci</x:v>
      </x:c>
    </x:row>
    <x:row r="18" ht="74" customHeight="1">
      <x:c r="A18" s="32" t="str">
        <x:v>Coworld</x:v>
      </x:c>
      <x:c r="B18" s="32" t="str">
        <x:v>https://www.coworld.eu/en/virtual-office?step=1</x:v>
      </x:c>
      <x:c r="C18" s="32" t="str">
        <x:v>C</x:v>
      </x:c>
      <x:c r="D18" s="32" t="str">
        <x:v>Italia</x:v>
      </x:c>
      <x:c r="E18" s="32" t="str">
        <x:v>Italia</x:v>
      </x:c>
      <x:c r="F18" s="32" t="str">
        <x:v>O: Milano Centrale, Affari, Porta Romana, Segrate</x:v>
      </x:c>
      <x:c r="G18" s="32" t="str">
        <x:v>non trovato</x:v>
      </x:c>
      <x:c r="H18" s="32" t="str">
        <x:v>Coworking e pacchetti domiciliazione</x:v>
      </x:c>
      <x:c r="I18" s="32" t="str">
        <x:v>Rete locale branded</x:v>
      </x:c>
      <x:c r="J18" s="32" t="str">
        <x:v>non trovato</x:v>
      </x:c>
      <x:c r="K18" s="32" t="str">
        <x:v>D/O: sì</x:v>
      </x:c>
      <x:c r="L18" s="32" t="str">
        <x:v>D: sì</x:v>
      </x:c>
      <x:c r="M18" s="32" t="str">
        <x:v>D/O: sì</x:v>
      </x:c>
      <x:c r="N18" s="32" t="str">
        <x:v>non trovato</x:v>
      </x:c>
      <x:c r="O18" s="32" t="str">
        <x:v>non trovato</x:v>
      </x:c>
      <x:c r="P18" s="32" t="str">
        <x:v>D/O: ore nei piani superiori</x:v>
      </x:c>
      <x:c r="Q18" s="32" t="str">
        <x:v>D: sì</x:v>
      </x:c>
      <x:c r="R18" s="32" t="str">
        <x:v>D: sì</x:v>
      </x:c>
      <x:c r="S18" s="32" t="str">
        <x:v>non trovato</x:v>
      </x:c>
      <x:c r="T18" s="32" t="str">
        <x:v>non trovato</x:v>
      </x:c>
      <x:c r="U18" s="32" t="str">
        <x:v>non trovato</x:v>
      </x:c>
      <x:c r="V18" s="32" t="str">
        <x:v>non trovato</x:v>
      </x:c>
      <x:c r="W18" s="32" t="str">
        <x:v>O: 6 step; provati primi 3</x:v>
      </x:c>
      <x:c r="X18" s="32" t="str">
        <x:v>non trovato</x:v>
      </x:c>
      <x:c r="Y18" s="32" t="str">
        <x:v>O: step previsto, pagamento non completato</x:v>
      </x:c>
      <x:c r="Z18" s="32" t="str">
        <x:v>O: link portale; contenuto non testato</x:v>
      </x:c>
      <x:c r="AA18" s="32" t="str">
        <x:v>non trovato</x:v>
      </x:c>
      <x:c r="AB18" s="32" t="str">
        <x:v>non trovato</x:v>
      </x:c>
      <x:c r="AC18" s="32" t="str">
        <x:v>non trovato</x:v>
      </x:c>
      <x:c r="AD18" s="32" t="str">
        <x:v>O: 69/119/279 €/mese + IVA, pagamento annuale anticipato</x:v>
      </x:c>
      <x:c r="AE18" s="32" t="str">
        <x:v>non trovato</x:v>
      </x:c>
      <x:c r="AF18" s="32" t="str">
        <x:v>D: SEO locale, vendita assistita e checkout</x:v>
      </x:c>
      <x:c r="AG18" s="32" t="str">
        <x:v>SEO città; SEM non trovato</x:v>
      </x:c>
      <x:c r="AH18" s="32" t="str">
        <x:v>O: pagina locale premium83; checkout119, differenza da chiarire</x:v>
      </x:c>
      <x:c r="AI18" s="32" t="str">
        <x:v>non trovato</x:v>
      </x:c>
      <x:c r="AJ18" s="32" t="str">
        <x:v>non trovato</x:v>
      </x:c>
      <x:c r="AK18" s="32" t="str">
        <x:v>NF: bilancio attribuibile non acquisito nelle fonti consultate; nessuna stima di fatturato da traffico/clienti.</x:v>
      </x:c>
      <x:c r="AL18" s="32" t="str">
        <x:v>NF: nessun numero di visite attendibile acquisito; non equivale a zero.</x:v>
      </x:c>
      <x:c r="AM18" s="32" t="str">
        <x:v>cw, cl</x:v>
      </x:c>
    </x:row>
    <x:row r="19" ht="74" customHeight="1">
      <x:c r="A19" s="31" t="str">
        <x:v>CostoDomiciliazioneSedeLegaleMilano.it</x:v>
      </x:c>
      <x:c r="B19" s="31" t="str">
        <x:v>https://www.costodomiciliazionesedelegalemilano.it/</x:v>
      </x:c>
      <x:c r="C19" s="31" t="str">
        <x:v>C</x:v>
      </x:c>
      <x:c r="D19" s="31" t="str">
        <x:v>Italia, operatività</x:v>
      </x:c>
      <x:c r="E19" s="31" t="str">
        <x:v>Italia</x:v>
      </x:c>
      <x:c r="F19" s="31" t="str">
        <x:v>D: quattro sedi Milano</x:v>
      </x:c>
      <x:c r="G19" s="31" t="str">
        <x:v>non trovato</x:v>
      </x:c>
      <x:c r="H19" s="31" t="str">
        <x:v>Domiciliazione low-cost diretta</x:v>
      </x:c>
      <x:c r="I19" s="31" t="str">
        <x:v>Operatore locale, ragione sociale non trovata</x:v>
      </x:c>
      <x:c r="J19" s="31" t="str">
        <x:v>non trovato</x:v>
      </x:c>
      <x:c r="K19" s="31" t="str">
        <x:v>D: sì</x:v>
      </x:c>
      <x:c r="L19" s="31" t="str">
        <x:v>D: sì</x:v>
      </x:c>
      <x:c r="M19" s="31" t="str">
        <x:v>D: ricezione</x:v>
      </x:c>
      <x:c r="N19" s="31" t="str">
        <x:v>non trovato</x:v>
      </x:c>
      <x:c r="O19" s="31" t="str">
        <x:v>D: costi vivi</x:v>
      </x:c>
      <x:c r="P19" s="31" t="str">
        <x:v>D: prenotazione, condizioni da verificare</x:v>
      </x:c>
      <x:c r="Q19" s="31" t="str">
        <x:v>non trovato</x:v>
      </x:c>
      <x:c r="R19" s="31" t="str">
        <x:v>non trovato</x:v>
      </x:c>
      <x:c r="S19" s="31" t="str">
        <x:v>non trovato</x:v>
      </x:c>
      <x:c r="T19" s="31" t="str">
        <x:v>non trovato</x:v>
      </x:c>
      <x:c r="U19" s="31" t="str">
        <x:v>non trovato</x:v>
      </x:c>
      <x:c r="V19" s="31" t="str">
        <x:v>non trovato</x:v>
      </x:c>
      <x:c r="W19" s="31" t="str">
        <x:v>non trovato</x:v>
      </x:c>
      <x:c r="X19" s="31" t="str">
        <x:v>non trovato</x:v>
      </x:c>
      <x:c r="Y19" s="31" t="str">
        <x:v>non trovato</x:v>
      </x:c>
      <x:c r="Z19" s="31" t="str">
        <x:v>non trovato</x:v>
      </x:c>
      <x:c r="AA19" s="31" t="str">
        <x:v>non trovato</x:v>
      </x:c>
      <x:c r="AB19" s="31" t="str">
        <x:v>non trovato</x:v>
      </x:c>
      <x:c r="AC19" s="31" t="str">
        <x:v>non trovato</x:v>
      </x:c>
      <x:c r="AD19" s="31" t="str">
        <x:v>D: €365/anno + IVA, due rate semestrali</x:v>
      </x:c>
      <x:c r="AE19" s="31" t="str">
        <x:v>non trovato</x:v>
      </x:c>
      <x:c r="AF19" s="31" t="str">
        <x:v>D: siti locali e contatto</x:v>
      </x:c>
      <x:c r="AG19" s="31" t="str">
        <x:v>Domini a corrispondenza esatta; SEM non trovato</x:v>
      </x:c>
      <x:c r="AH19" s="31" t="str">
        <x:v>non trovato</x:v>
      </x:c>
      <x:c r="AI19" s="31" t="str">
        <x:v>non trovato</x:v>
      </x:c>
      <x:c r="AJ19" s="31" t="str">
        <x:v>non trovato</x:v>
      </x:c>
      <x:c r="AK19" s="31" t="str">
        <x:v>NF: bilancio attribuibile non acquisito nelle fonti consultate; nessuna stima di fatturato da traffico/clienti.</x:v>
      </x:c>
      <x:c r="AL19" s="31" t="str">
        <x:v>NF: nessun numero di visite attendibile acquisito; non equivale a zero.</x:v>
      </x:c>
      <x:c r="AM19" s="31" t="str">
        <x:v>dm, df</x:v>
      </x:c>
    </x:row>
    <x:row r="20" ht="74" customHeight="1">
      <x:c r="A20" s="32" t="str">
        <x:v>SedeLegaleMilano.org</x:v>
      </x:c>
      <x:c r="B20" s="32" t="str">
        <x:v>https://www.sedelegalemilano.org/</x:v>
      </x:c>
      <x:c r="C20" s="32" t="str">
        <x:v>C</x:v>
      </x:c>
      <x:c r="D20" s="32" t="str">
        <x:v>Italia, operatività</x:v>
      </x:c>
      <x:c r="E20" s="32" t="str">
        <x:v>Italia</x:v>
      </x:c>
      <x:c r="F20" s="32" t="str">
        <x:v>D: Milano zona San Babila</x:v>
      </x:c>
      <x:c r="G20" s="32" t="str">
        <x:v>non trovato</x:v>
      </x:c>
      <x:c r="H20" s="32" t="str">
        <x:v>Domiciliazione locale</x:v>
      </x:c>
      <x:c r="I20" s="32" t="str">
        <x:v>Operatore locale</x:v>
      </x:c>
      <x:c r="J20" s="32" t="str">
        <x:v>non trovato</x:v>
      </x:c>
      <x:c r="K20" s="32" t="str">
        <x:v>D: sì</x:v>
      </x:c>
      <x:c r="L20" s="32" t="str">
        <x:v>non trovato</x:v>
      </x:c>
      <x:c r="M20" s="32" t="str">
        <x:v>D: sì</x:v>
      </x:c>
      <x:c r="N20" s="32" t="str">
        <x:v>non trovato</x:v>
      </x:c>
      <x:c r="O20" s="32" t="str">
        <x:v>non trovato</x:v>
      </x:c>
      <x:c r="P20" s="32" t="str">
        <x:v>D: €40/h + IVA</x:v>
      </x:c>
      <x:c r="Q20" s="32" t="str">
        <x:v>non trovato</x:v>
      </x:c>
      <x:c r="R20" s="32" t="str">
        <x:v>non trovato</x:v>
      </x:c>
      <x:c r="S20" s="32" t="str">
        <x:v>non trovato</x:v>
      </x:c>
      <x:c r="T20" s="32" t="str">
        <x:v>non trovato</x:v>
      </x:c>
      <x:c r="U20" s="32" t="str">
        <x:v>non trovato</x:v>
      </x:c>
      <x:c r="V20" s="32" t="str">
        <x:v>non trovato</x:v>
      </x:c>
      <x:c r="W20" s="32" t="str">
        <x:v>D: OTP e attivazione rapida</x:v>
      </x:c>
      <x:c r="X20" s="32" t="str">
        <x:v>non trovato</x:v>
      </x:c>
      <x:c r="Y20" s="32" t="str">
        <x:v>non trovato</x:v>
      </x:c>
      <x:c r="Z20" s="32" t="str">
        <x:v>non trovato</x:v>
      </x:c>
      <x:c r="AA20" s="32" t="str">
        <x:v>non trovato</x:v>
      </x:c>
      <x:c r="AB20" s="32" t="str">
        <x:v>non trovato</x:v>
      </x:c>
      <x:c r="AC20" s="32" t="str">
        <x:v>non trovato</x:v>
      </x:c>
      <x:c r="AD20" s="32" t="str">
        <x:v>D: €45/mese + IVA; promozioni condizionate da non generalizzare</x:v>
      </x:c>
      <x:c r="AE20" s="32" t="str">
        <x:v>non trovato</x:v>
      </x:c>
      <x:c r="AF20" s="32" t="str">
        <x:v>D: SEO e promozioni</x:v>
      </x:c>
      <x:c r="AG20" s="32" t="str">
        <x:v>SEO local exact-match; SEM non trovato</x:v>
      </x:c>
      <x:c r="AH20" s="32" t="str">
        <x:v>non trovato</x:v>
      </x:c>
      <x:c r="AI20" s="32" t="str">
        <x:v>non trovato</x:v>
      </x:c>
      <x:c r="AJ20" s="32" t="str">
        <x:v>non trovato</x:v>
      </x:c>
      <x:c r="AK20" s="32" t="str">
        <x:v>NF: bilancio attribuibile non acquisito nelle fonti consultate; nessuna stima di fatturato da traffico/clienti.</x:v>
      </x:c>
      <x:c r="AL20" s="32" t="str">
        <x:v>NF: nessun numero di visite attendibile acquisito; non equivale a zero.</x:v>
      </x:c>
      <x:c r="AM20" s="32" t="str">
        <x:v>sb, su</x:v>
      </x:c>
    </x:row>
    <x:row r="21" ht="74" customHeight="1">
      <x:c r="A21" s="31" t="str">
        <x:v>CUBE Suite Coworking</x:v>
      </x:c>
      <x:c r="B21" s="31" t="str">
        <x:v>https://www.cubecoworking.it/servizi/domiciliazione</x:v>
      </x:c>
      <x:c r="C21" s="31" t="str">
        <x:v>C</x:v>
      </x:c>
      <x:c r="D21" s="31" t="str">
        <x:v>Italia</x:v>
      </x:c>
      <x:c r="E21" s="31" t="str">
        <x:v>Italia</x:v>
      </x:c>
      <x:c r="F21" s="31" t="str">
        <x:v>Roma, via Monte Giberto 81</x:v>
      </x:c>
      <x:c r="G21" s="31" t="str">
        <x:v>non trovato</x:v>
      </x:c>
      <x:c r="H21" s="31" t="str">
        <x:v>Centro locale</x:v>
      </x:c>
      <x:c r="I21" s="31" t="str">
        <x:v>Operatore locale</x:v>
      </x:c>
      <x:c r="J21" s="31" t="str">
        <x:v>non trovato</x:v>
      </x:c>
      <x:c r="K21" s="31" t="str">
        <x:v>D: sì</x:v>
      </x:c>
      <x:c r="L21" s="31" t="str">
        <x:v>non trovato</x:v>
      </x:c>
      <x:c r="M21" s="31" t="str">
        <x:v>D: anche notifiche ufficiali</x:v>
      </x:c>
      <x:c r="N21" s="31" t="str">
        <x:v>non trovato</x:v>
      </x:c>
      <x:c r="O21" s="31" t="str">
        <x:v>non trovato</x:v>
      </x:c>
      <x:c r="P21" s="31" t="str">
        <x:v>D: sì</x:v>
      </x:c>
      <x:c r="Q21" s="31" t="str">
        <x:v>non trovato</x:v>
      </x:c>
      <x:c r="R21" s="31" t="str">
        <x:v>D: sì</x:v>
      </x:c>
      <x:c r="S21" s="31" t="str">
        <x:v>non trovato</x:v>
      </x:c>
      <x:c r="T21" s="31" t="str">
        <x:v>non trovato</x:v>
      </x:c>
      <x:c r="U21" s="31" t="str">
        <x:v>non trovato</x:v>
      </x:c>
      <x:c r="V21" s="31" t="str">
        <x:v>non trovato</x:v>
      </x:c>
      <x:c r="W21" s="31" t="str">
        <x:v>non trovato</x:v>
      </x:c>
      <x:c r="X21" s="31" t="str">
        <x:v>non trovato</x:v>
      </x:c>
      <x:c r="Y21" s="31" t="str">
        <x:v>non trovato</x:v>
      </x:c>
      <x:c r="Z21" s="31" t="str">
        <x:v>non trovato</x:v>
      </x:c>
      <x:c r="AA21" s="31" t="str">
        <x:v>non trovato</x:v>
      </x:c>
      <x:c r="AB21" s="31" t="str">
        <x:v>non trovato</x:v>
      </x:c>
      <x:c r="AC21" s="31" t="str">
        <x:v>non trovato</x:v>
      </x:c>
      <x:c r="AD21" s="31" t="str">
        <x:v>D: €600/anno + IVA</x:v>
      </x:c>
      <x:c r="AE21" s="31" t="str">
        <x:v>non trovato</x:v>
      </x:c>
      <x:c r="AF21" s="31" t="str">
        <x:v>D: SEO locale e contatto</x:v>
      </x:c>
      <x:c r="AG21" s="31" t="str">
        <x:v>SEO Roma; SEM non trovato</x:v>
      </x:c>
      <x:c r="AH21" s="31" t="str">
        <x:v>non trovato</x:v>
      </x:c>
      <x:c r="AI21" s="31" t="str">
        <x:v>non trovato</x:v>
      </x:c>
      <x:c r="AJ21" s="31" t="str">
        <x:v>non trovato</x:v>
      </x:c>
      <x:c r="AK21" s="31" t="str">
        <x:v>NF: bilancio attribuibile non acquisito nelle fonti consultate; nessuna stima di fatturato da traffico/clienti.</x:v>
      </x:c>
      <x:c r="AL21" s="31" t="str">
        <x:v>NF: nessun numero di visite attendibile acquisito; non equivale a zero.</x:v>
      </x:c>
      <x:c r="AM21" s="31" t="str">
        <x:v>cu</x:v>
      </x:c>
    </x:row>
    <x:row r="22" ht="74" customHeight="1">
      <x:c r="A22" s="32" t="str">
        <x:v>i-WorkinRome</x:v>
      </x:c>
      <x:c r="B22" s="32" t="str">
        <x:v>https://www.iworkinrome.com/</x:v>
      </x:c>
      <x:c r="C22" s="32" t="str">
        <x:v>C</x:v>
      </x:c>
      <x:c r="D22" s="32" t="str">
        <x:v>Italia</x:v>
      </x:c>
      <x:c r="E22" s="32" t="str">
        <x:v>Italia</x:v>
      </x:c>
      <x:c r="F22" s="32" t="str">
        <x:v>Roma, Palazzo Albertoni Spinola, Campitelli</x:v>
      </x:c>
      <x:c r="G22" s="32" t="str">
        <x:v>non trovato</x:v>
      </x:c>
      <x:c r="H22" s="32" t="str">
        <x:v>Business center locale</x:v>
      </x:c>
      <x:c r="I22" s="32" t="str">
        <x:v>Operatore locale</x:v>
      </x:c>
      <x:c r="J22" s="32" t="str">
        <x:v>non trovato</x:v>
      </x:c>
      <x:c r="K22" s="32" t="str">
        <x:v>D: sì</x:v>
      </x:c>
      <x:c r="L22" s="32" t="str">
        <x:v>D: sì</x:v>
      </x:c>
      <x:c r="M22" s="32" t="str">
        <x:v>D: sì</x:v>
      </x:c>
      <x:c r="N22" s="32" t="str">
        <x:v>D: envelope/full scan secondo piano</x:v>
      </x:c>
      <x:c r="O22" s="32" t="str">
        <x:v>D: sì</x:v>
      </x:c>
      <x:c r="P22" s="32" t="str">
        <x:v>D: sì</x:v>
      </x:c>
      <x:c r="Q22" s="32" t="str">
        <x:v>D: sì</x:v>
      </x:c>
      <x:c r="R22" s="32" t="str">
        <x:v>D: sì</x:v>
      </x:c>
      <x:c r="S22" s="32" t="str">
        <x:v>non trovato</x:v>
      </x:c>
      <x:c r="T22" s="32" t="str">
        <x:v>non trovato</x:v>
      </x:c>
      <x:c r="U22" s="32" t="str">
        <x:v>non trovato</x:v>
      </x:c>
      <x:c r="V22" s="32" t="str">
        <x:v>non trovato</x:v>
      </x:c>
      <x:c r="W22" s="32" t="str">
        <x:v>non trovato</x:v>
      </x:c>
      <x:c r="X22" s="32" t="str">
        <x:v>non trovato</x:v>
      </x:c>
      <x:c r="Y22" s="32" t="str">
        <x:v>non trovato</x:v>
      </x:c>
      <x:c r="Z22" s="32" t="str">
        <x:v>non trovato</x:v>
      </x:c>
      <x:c r="AA22" s="32" t="str">
        <x:v>non trovato</x:v>
      </x:c>
      <x:c r="AB22" s="32" t="str">
        <x:v>non trovato</x:v>
      </x:c>
      <x:c r="AC22" s="32" t="str">
        <x:v>non trovato</x:v>
      </x:c>
      <x:c r="AD22" s="32" t="str">
        <x:v>non trovato: preventivo</x:v>
      </x:c>
      <x:c r="AE22" s="32" t="str">
        <x:v>non trovato</x:v>
      </x:c>
      <x:c r="AF22" s="32" t="str">
        <x:v>D: form, WhatsApp, contenuti in inglese</x:v>
      </x:c>
      <x:c r="AG22" s="32" t="str">
        <x:v>SEO locale/inbound; SEM non trovato</x:v>
      </x:c>
      <x:c r="AH22" s="32" t="str">
        <x:v>non trovato</x:v>
      </x:c>
      <x:c r="AI22" s="32" t="str">
        <x:v>non trovato</x:v>
      </x:c>
      <x:c r="AJ22" s="32" t="str">
        <x:v>non trovato</x:v>
      </x:c>
      <x:c r="AK22" s="32" t="str">
        <x:v>NF: bilancio attribuibile non acquisito nelle fonti consultate; nessuna stima di fatturato da traffico/clienti.</x:v>
      </x:c>
      <x:c r="AL22" s="32" t="str">
        <x:v>NF: nessun numero di visite attendibile acquisito; non equivale a zero.</x:v>
      </x:c>
      <x:c r="AM22" s="32" t="str">
        <x:v>iw</x:v>
      </x:c>
    </x:row>
    <x:row r="23" ht="74" customHeight="1">
      <x:c r="A23" s="31" t="str">
        <x:v>Office Club</x:v>
      </x:c>
      <x:c r="B23" s="31" t="str">
        <x:v>https://www.officeclub.com/en/business-address/milan</x:v>
      </x:c>
      <x:c r="C23" s="31" t="str">
        <x:v>B</x:v>
      </x:c>
      <x:c r="D23" s="31" t="str">
        <x:v>Germania</x:v>
      </x:c>
      <x:c r="E23" s="31" t="str">
        <x:v>Germania e Italia verificati</x:v>
      </x:c>
      <x:c r="F23" s="31" t="str">
        <x:v>Milano, via MonteNapoleone 8</x:v>
      </x:c>
      <x:c r="G23" s="31" t="str">
        <x:v>2011 · fondazione dichiarata; concept dal2010</x:v>
      </x:c>
      <x:c r="H23" s="31" t="str">
        <x:v>Rete di club e uffici</x:v>
      </x:c>
      <x:c r="I23" s="31" t="str">
        <x:v>Rete branded</x:v>
      </x:c>
      <x:c r="J23" s="31" t="str">
        <x:v>non trovato</x:v>
      </x:c>
      <x:c r="K23" s="31" t="str">
        <x:v>D: pacchetto Virtual Office consigliato</x:v>
      </x:c>
      <x:c r="L23" s="31" t="str">
        <x:v>D: sì</x:v>
      </x:c>
      <x:c r="M23" s="31" t="str">
        <x:v>D: sì</x:v>
      </x:c>
      <x:c r="N23" s="31" t="str">
        <x:v>D: sì</x:v>
      </x:c>
      <x:c r="O23" s="31" t="str">
        <x:v>D: sì</x:v>
      </x:c>
      <x:c r="P23" s="31" t="str">
        <x:v>D: sì</x:v>
      </x:c>
      <x:c r="Q23" s="31" t="str">
        <x:v>D: sì</x:v>
      </x:c>
      <x:c r="R23" s="31" t="str">
        <x:v>D: sì</x:v>
      </x:c>
      <x:c r="S23" s="31" t="str">
        <x:v>non trovato</x:v>
      </x:c>
      <x:c r="T23" s="31" t="str">
        <x:v>non trovato</x:v>
      </x:c>
      <x:c r="U23" s="31" t="str">
        <x:v>non trovato</x:v>
      </x:c>
      <x:c r="V23" s="31" t="str">
        <x:v>non trovato</x:v>
      </x:c>
      <x:c r="W23" s="31" t="str">
        <x:v>D: prenotazione online</x:v>
      </x:c>
      <x:c r="X23" s="31" t="str">
        <x:v>non trovato</x:v>
      </x:c>
      <x:c r="Y23" s="31" t="str">
        <x:v>non trovato</x:v>
      </x:c>
      <x:c r="Z23" s="31" t="str">
        <x:v>non trovato</x:v>
      </x:c>
      <x:c r="AA23" s="31" t="str">
        <x:v>non trovato</x:v>
      </x:c>
      <x:c r="AB23" s="31" t="str">
        <x:v>non trovato</x:v>
      </x:c>
      <x:c r="AC23" s="31" t="str">
        <x:v>non trovato</x:v>
      </x:c>
      <x:c r="AD23" s="31" t="str">
        <x:v>non trovato per pacchetto comparabile</x:v>
      </x:c>
      <x:c r="AE23" s="31" t="str">
        <x:v>non trovato</x:v>
      </x:c>
      <x:c r="AF23" s="31" t="str">
        <x:v>D: SEO inglese/tedesco e booking</x:v>
      </x:c>
      <x:c r="AG23" s="31" t="str">
        <x:v>SEO Milano in inglese; SEM non trovato</x:v>
      </x:c>
      <x:c r="AH23" s="31" t="str">
        <x:v>non trovato</x:v>
      </x:c>
      <x:c r="AI23" s="31" t="str">
        <x:v>non trovato</x:v>
      </x:c>
      <x:c r="AJ23" s="31" t="str">
        <x:v>non trovato</x:v>
      </x:c>
      <x:c r="AK23" s="31" t="str">
        <x:v>NF: bilancio attribuibile non acquisito nelle fonti consultate; nessuna stima di fatturato da traffico/clienti.</x:v>
      </x:c>
      <x:c r="AL23" s="31" t="str">
        <x:v>NF: nessun numero di visite attendibile acquisito; non equivale a zero.</x:v>
      </x:c>
      <x:c r="AM23" s="31" t="str">
        <x:v>ob, ov, bp_officefound</x:v>
      </x:c>
    </x:row>
    <x:row r="24" ht="74" customHeight="1">
      <x:c r="A24" s="32" t="str">
        <x:v>Satellite Office</x:v>
      </x:c>
      <x:c r="B24" s="32" t="str">
        <x:v>https://www.satellite-office.com/it-it/virtual-office/milano/</x:v>
      </x:c>
      <x:c r="C24" s="32" t="str">
        <x:v>B</x:v>
      </x:c>
      <x:c r="D24" s="32" t="str">
        <x:v>Germania</x:v>
      </x:c>
      <x:c r="E24" s="32" t="str">
        <x:v>Germania, Svizzera, Italia pubblicizzate</x:v>
      </x:c>
      <x:c r="F24" s="32" t="str">
        <x:v>Milano, via Broletto 4</x:v>
      </x:c>
      <x:c r="G24" s="32" t="str">
        <x:v>1997 · attività originaria; GmbH dal1999</x:v>
      </x:c>
      <x:c r="H24" s="32" t="str">
        <x:v>Rete premium di uffici</x:v>
      </x:c>
      <x:c r="I24" s="32" t="str">
        <x:v>Rete branded</x:v>
      </x:c>
      <x:c r="J24" s="32" t="str">
        <x:v>non trovato</x:v>
      </x:c>
      <x:c r="K24" s="32" t="str">
        <x:v>D: opzione</x:v>
      </x:c>
      <x:c r="L24" s="32" t="str">
        <x:v>D: sì</x:v>
      </x:c>
      <x:c r="M24" s="32" t="str">
        <x:v>D: sì</x:v>
      </x:c>
      <x:c r="N24" s="32" t="str">
        <x:v>non trovato</x:v>
      </x:c>
      <x:c r="O24" s="32" t="str">
        <x:v>non trovato</x:v>
      </x:c>
      <x:c r="P24" s="32" t="str">
        <x:v>D: sì</x:v>
      </x:c>
      <x:c r="Q24" s="32" t="str">
        <x:v>D: sì</x:v>
      </x:c>
      <x:c r="R24" s="32" t="str">
        <x:v>D: sì</x:v>
      </x:c>
      <x:c r="S24" s="32" t="str">
        <x:v>non trovato</x:v>
      </x:c>
      <x:c r="T24" s="32" t="str">
        <x:v>non trovato</x:v>
      </x:c>
      <x:c r="U24" s="32" t="str">
        <x:v>non trovato</x:v>
      </x:c>
      <x:c r="V24" s="32" t="str">
        <x:v>non trovato</x:v>
      </x:c>
      <x:c r="W24" s="32" t="str">
        <x:v>non trovato</x:v>
      </x:c>
      <x:c r="X24" s="32" t="str">
        <x:v>non trovato</x:v>
      </x:c>
      <x:c r="Y24" s="32" t="str">
        <x:v>non trovato</x:v>
      </x:c>
      <x:c r="Z24" s="32" t="str">
        <x:v>non trovato</x:v>
      </x:c>
      <x:c r="AA24" s="32" t="str">
        <x:v>non trovato</x:v>
      </x:c>
      <x:c r="AB24" s="32" t="str">
        <x:v>non trovato</x:v>
      </x:c>
      <x:c r="AC24" s="32" t="str">
        <x:v>non trovato</x:v>
      </x:c>
      <x:c r="AD24" s="32" t="str">
        <x:v>non trovato</x:v>
      </x:c>
      <x:c r="AE24" s="32" t="str">
        <x:v>non trovato</x:v>
      </x:c>
      <x:c r="AF24" s="32" t="str">
        <x:v>D: brand e SEO internazionale</x:v>
      </x:c>
      <x:c r="AG24" s="32" t="str">
        <x:v>SEO città; SEM non trovato</x:v>
      </x:c>
      <x:c r="AH24" s="32" t="str">
        <x:v>non trovato</x:v>
      </x:c>
      <x:c r="AI24" s="32" t="str">
        <x:v>non trovato</x:v>
      </x:c>
      <x:c r="AJ24" s="32" t="str">
        <x:v>non trovato</x:v>
      </x:c>
      <x:c r="AK24" s="32" t="str">
        <x:v>NF: bilancio attribuibile non acquisito nelle fonti consultate; nessuna stima di fatturato da traffico/clienti.</x:v>
      </x:c>
      <x:c r="AL24" s="32" t="str">
        <x:v>NF: nessun numero di visite attendibile acquisito; non equivale a zero.</x:v>
      </x:c>
      <x:c r="AM24" s="32" t="str">
        <x:v>so, bp_satfound</x:v>
      </x:c>
    </x:row>
    <x:row r="25" ht="74" customHeight="1">
      <x:c r="A25" s="31" t="str">
        <x:v>Ufficio Temporaneo / rete Ottomedia</x:v>
      </x:c>
      <x:c r="B25" s="31" t="str">
        <x:v>https://ufficiotemporaneo.com/english-version/virtual-office-milan/</x:v>
      </x:c>
      <x:c r="C25" s="31" t="str">
        <x:v>A/F</x:v>
      </x:c>
      <x:c r="D25" s="31" t="str">
        <x:v>Italia</x:v>
      </x:c>
      <x:c r="E25" s="31" t="str">
        <x:v>Italia</x:v>
      </x:c>
      <x:c r="F25" s="31" t="str">
        <x:v>D: Milano e rete nazionale</x:v>
      </x:c>
      <x:c r="G25" s="31" t="str">
        <x:v>non trovato</x:v>
      </x:c>
      <x:c r="H25" s="31" t="str">
        <x:v>Aggregazione richieste per business center</x:v>
      </x:c>
      <x:c r="I25" s="31" t="str">
        <x:v>Rete/lead, gestione centrale non dimostrata</x:v>
      </x:c>
      <x:c r="J25" s="31" t="str">
        <x:v>D: business center</x:v>
      </x:c>
      <x:c r="K25" s="31" t="str">
        <x:v>D: alcune offerte</x:v>
      </x:c>
      <x:c r="L25" s="31" t="str">
        <x:v>D: sì</x:v>
      </x:c>
      <x:c r="M25" s="31" t="str">
        <x:v>D: secondo centro</x:v>
      </x:c>
      <x:c r="N25" s="31" t="str">
        <x:v>non trovato</x:v>
      </x:c>
      <x:c r="O25" s="31" t="str">
        <x:v>non trovato</x:v>
      </x:c>
      <x:c r="P25" s="31" t="str">
        <x:v>D: sì</x:v>
      </x:c>
      <x:c r="Q25" s="31" t="str">
        <x:v>D: sì</x:v>
      </x:c>
      <x:c r="R25" s="31" t="str">
        <x:v>non trovato</x:v>
      </x:c>
      <x:c r="S25" s="31" t="str">
        <x:v>non trovato</x:v>
      </x:c>
      <x:c r="T25" s="31" t="str">
        <x:v>non trovato</x:v>
      </x:c>
      <x:c r="U25" s="31" t="str">
        <x:v>non trovato</x:v>
      </x:c>
      <x:c r="V25" s="31" t="str">
        <x:v>non trovato</x:v>
      </x:c>
      <x:c r="W25" s="31" t="str">
        <x:v>non trovato</x:v>
      </x:c>
      <x:c r="X25" s="31" t="str">
        <x:v>non trovato</x:v>
      </x:c>
      <x:c r="Y25" s="31" t="str">
        <x:v>non trovato</x:v>
      </x:c>
      <x:c r="Z25" s="31" t="str">
        <x:v>non trovato</x:v>
      </x:c>
      <x:c r="AA25" s="31" t="str">
        <x:v>non trovato</x:v>
      </x:c>
      <x:c r="AB25" s="31" t="str">
        <x:v>non trovato</x:v>
      </x:c>
      <x:c r="AC25" s="31" t="str">
        <x:v>non trovato</x:v>
      </x:c>
      <x:c r="AD25" s="31" t="str">
        <x:v>non trovato</x:v>
      </x:c>
      <x:c r="AE25" s="31" t="str">
        <x:v>non trovato</x:v>
      </x:c>
      <x:c r="AF25" s="31" t="str">
        <x:v>D: contatti e SEO</x:v>
      </x:c>
      <x:c r="AG25" s="31" t="str">
        <x:v>Pagine città bilingui; SEM non trovato</x:v>
      </x:c>
      <x:c r="AH25" s="31" t="str">
        <x:v>non trovato</x:v>
      </x:c>
      <x:c r="AI25" s="31" t="str">
        <x:v>non trovato</x:v>
      </x:c>
      <x:c r="AJ25" s="31" t="str">
        <x:v>non trovato</x:v>
      </x:c>
      <x:c r="AK25" s="31" t="str">
        <x:v>NF: bilancio attribuibile non acquisito nelle fonti consultate; nessuna stima di fatturato da traffico/clienti.</x:v>
      </x:c>
      <x:c r="AL25" s="31" t="str">
        <x:v>NF: nessun numero di visite attendibile acquisito; non equivale a zero.</x:v>
      </x:c>
      <x:c r="AM25" s="31" t="str">
        <x:v>ut</x:v>
      </x:c>
    </x:row>
    <x:row r="26" ht="191" customHeight="1">
      <x:c r="A26" s="32" t="str">
        <x:v>Fiscozen</x:v>
      </x:c>
      <x:c r="B26" s="32" t="str">
        <x:v>https://www.fiscozen.it/commercialisti-partner/</x:v>
      </x:c>
      <x:c r="C26" s="32" t="str">
        <x:v>E/G</x:v>
      </x:c>
      <x:c r="D26" s="32" t="str">
        <x:v>Italia</x:v>
      </x:c>
      <x:c r="E26" s="32" t="str">
        <x:v>Italia</x:v>
      </x:c>
      <x:c r="F26" s="32" t="str">
        <x:v>non trovato</x:v>
      </x:c>
      <x:c r="G26" s="32" t="str">
        <x:v>2018 · avvio dichiarato del brand</x:v>
      </x:c>
      <x:c r="H26" s="32" t="str">
        <x:v>Servizio digitale con commercialisti partner</x:v>
      </x:c>
      <x:c r="I26" s="32" t="str">
        <x:v>Rete professionale gestita</x:v>
      </x:c>
      <x:c r="J26" s="32" t="str">
        <x:v>D: commercialisti iscritti</x:v>
      </x:c>
      <x:c r="K26" s="32" t="str">
        <x:v>non trovato</x:v>
      </x:c>
      <x:c r="L26" s="32" t="str">
        <x:v>non trovato</x:v>
      </x:c>
      <x:c r="M26" s="32" t="str">
        <x:v>non trovato</x:v>
      </x:c>
      <x:c r="N26" s="32" t="str">
        <x:v>non trovato</x:v>
      </x:c>
      <x:c r="O26" s="32" t="str">
        <x:v>non trovato</x:v>
      </x:c>
      <x:c r="P26" s="32" t="str">
        <x:v>non trovato</x:v>
      </x:c>
      <x:c r="Q26" s="32" t="str">
        <x:v>non trovato</x:v>
      </x:c>
      <x:c r="R26" s="32" t="str">
        <x:v>non trovato</x:v>
      </x:c>
      <x:c r="S26" s="32" t="str">
        <x:v>non trovato</x:v>
      </x:c>
      <x:c r="T26" s="32" t="str">
        <x:v>D: sì</x:v>
      </x:c>
      <x:c r="U26" s="32" t="str">
        <x:v>non trovato</x:v>
      </x:c>
      <x:c r="V26" s="32" t="str">
        <x:v>non trovato</x:v>
      </x:c>
      <x:c r="W26" s="32" t="str">
        <x:v>D: sì</x:v>
      </x:c>
      <x:c r="X26" s="32" t="str">
        <x:v>non trovato</x:v>
      </x:c>
      <x:c r="Y26" s="32" t="str">
        <x:v>non trovato</x:v>
      </x:c>
      <x:c r="Z26" s="32" t="str">
        <x:v>D: gestione servizio</x:v>
      </x:c>
      <x:c r="AA26" s="32" t="str">
        <x:v>non trovato</x:v>
      </x:c>
      <x:c r="AB26" s="32" t="str">
        <x:v>non trovato</x:v>
      </x:c>
      <x:c r="AC26" s="32" t="str">
        <x:v>non trovato</x:v>
      </x:c>
      <x:c r="AD26" s="32" t="str">
        <x:v>non trovato</x:v>
      </x:c>
      <x:c r="AE26" s="32" t="str">
        <x:v>non trovato</x:v>
      </x:c>
      <x:c r="AF26" s="32" t="str">
        <x:v>D: contenuti fiscali e rete professionisti</x:v>
      </x:c>
      <x:c r="AG26" s="32" t="str">
        <x:v>SEO fiscale; spesa SEM non trovata</x:v>
      </x:c>
      <x:c r="AH26" s="32" t="str">
        <x:v>I: presenza di accounting non prova supply di sedi</x:v>
      </x:c>
      <x:c r="AI26" s="32" t="str">
        <x:v>non trovato</x:v>
      </x:c>
      <x:c r="AJ26" s="32" t="str">
        <x:v>non trovato</x:v>
      </x:c>
      <x:c r="AK26" s="32" t="str">
        <x:v>2025 · EUR · SPA P.IVA10062090963 · fonti secondarie — Aziende.it riporta ricavi14.684.449 e perdita3.688.857. Ricavi riscontrati anche su UfficioCamerale.it (sito commerciale privato, non registro ufficiale). Bilancio originale non acquisito; i due aggregatori possono avere la stessa fonte a monte. Nessun dato della sola domiciliazione.</x:v>
      </x:c>
      <x:c r="AL26" s="32" t="str">
        <x:v>fiscozen.it: 610.740 visite stimate, agosto 2026, mondo; Italia 562.680; Semrush</x:v>
      </x:c>
      <x:c r="AM26" s="32" t="str">
        <x:v>fz, ff, bp_fiscozen, bp_fiscofin</x:v>
      </x:c>
    </x:row>
    <x:row r="27" ht="126" customHeight="1">
      <x:c r="A27" s="31" t="str">
        <x:v>Fatture in Cloud / TeamSystem</x:v>
      </x:c>
      <x:c r="B27" s="31" t="str">
        <x:v>https://www.fattureincloud.it/software-fatturazione/commercialista-connesso/</x:v>
      </x:c>
      <x:c r="C27" s="31" t="str">
        <x:v>E/G</x:v>
      </x:c>
      <x:c r="D27" s="31" t="str">
        <x:v>Italia</x:v>
      </x:c>
      <x:c r="E27" s="31" t="str">
        <x:v>Italia</x:v>
      </x:c>
      <x:c r="F27" s="31" t="str">
        <x:v>non trovato</x:v>
      </x:c>
      <x:c r="G27" s="31" t="str">
        <x:v>Novembre 2013 · lancio prodotto; incorporazione in TeamSystem nel 2025</x:v>
      </x:c>
      <x:c r="H27" s="31" t="str">
        <x:v>SaaS e collegamento imprese-commercialisti</x:v>
      </x:c>
      <x:c r="I27" s="31" t="str">
        <x:v>Software con rete professionale</x:v>
      </x:c>
      <x:c r="J27" s="31" t="str">
        <x:v>D: commercialisti</x:v>
      </x:c>
      <x:c r="K27" s="31" t="str">
        <x:v>non trovato</x:v>
      </x:c>
      <x:c r="L27" s="31" t="str">
        <x:v>non trovato</x:v>
      </x:c>
      <x:c r="M27" s="31" t="str">
        <x:v>non trovato</x:v>
      </x:c>
      <x:c r="N27" s="31" t="str">
        <x:v>non trovato</x:v>
      </x:c>
      <x:c r="O27" s="31" t="str">
        <x:v>non trovato</x:v>
      </x:c>
      <x:c r="P27" s="31" t="str">
        <x:v>non trovato</x:v>
      </x:c>
      <x:c r="Q27" s="31" t="str">
        <x:v>non trovato</x:v>
      </x:c>
      <x:c r="R27" s="31" t="str">
        <x:v>non trovato</x:v>
      </x:c>
      <x:c r="S27" s="31" t="str">
        <x:v>non trovato</x:v>
      </x:c>
      <x:c r="T27" s="31" t="str">
        <x:v>D: collegamento al professionista, non parcella inclusa</x:v>
      </x:c>
      <x:c r="U27" s="31" t="str">
        <x:v>non trovato</x:v>
      </x:c>
      <x:c r="V27" s="31" t="str">
        <x:v>non trovato</x:v>
      </x:c>
      <x:c r="W27" s="31" t="str">
        <x:v>non trovato</x:v>
      </x:c>
      <x:c r="X27" s="31" t="str">
        <x:v>non trovato</x:v>
      </x:c>
      <x:c r="Y27" s="31" t="str">
        <x:v>non trovato</x:v>
      </x:c>
      <x:c r="Z27" s="31" t="str">
        <x:v>D: SaaS</x:v>
      </x:c>
      <x:c r="AA27" s="31" t="str">
        <x:v>D: gestione clienti commercialista</x:v>
      </x:c>
      <x:c r="AB27" s="31" t="str">
        <x:v>non trovato</x:v>
      </x:c>
      <x:c r="AC27" s="31" t="str">
        <x:v>non trovato</x:v>
      </x:c>
      <x:c r="AD27" s="31" t="str">
        <x:v>non trovato</x:v>
      </x:c>
      <x:c r="AE27" s="31" t="str">
        <x:v>non trovato</x:v>
      </x:c>
      <x:c r="AF27" s="31" t="str">
        <x:v>D: base utenti e canale studi</x:v>
      </x:c>
      <x:c r="AG27" s="31" t="str">
        <x:v>SEO fiscale/prodotto; SEM non trovato</x:v>
      </x:c>
      <x:c r="AH27" s="31" t="str">
        <x:v>I: potenziale distribuzione; offerta sede non trovata</x:v>
      </x:c>
      <x:c r="AI27" s="31" t="str">
        <x:v>non trovato</x:v>
      </x:c>
      <x:c r="AJ27" s="31" t="str">
        <x:v>non trovato</x:v>
      </x:c>
      <x:c r="AK27" s="31" t="str">
        <x:v>2025 · EUR · gruppo TeamSystem — Ricavi 1,15 miliardi; EBITDA adjusted pro-forma 579 milioni. Dati del gruppo, non del prodotto Fatture in Cloud. Dal 2025 il prodotto non coincide più con MadBit come società autonoma.</x:v>
      </x:c>
      <x:c r="AL27" s="31" t="str">
        <x:v>NF: nessun numero di visite attendibile acquisito; non equivale a zero.</x:v>
      </x:c>
      <x:c r="AM27" s="31" t="str">
        <x:v>fc, bp_fic, bp_tsfin</x:v>
      </x:c>
    </x:row>
    <x:row r="28" ht="74" customHeight="1">
      <x:c r="A28" s="32" t="str">
        <x:v>Qonto</x:v>
      </x:c>
      <x:c r="B28" s="32" t="str">
        <x:v>https://qonto.com/it/pricing/creation</x:v>
      </x:c>
      <x:c r="C28" s="32" t="str">
        <x:v>G/D</x:v>
      </x:c>
      <x:c r="D28" s="32" t="str">
        <x:v>Francia</x:v>
      </x:c>
      <x:c r="E28" s="32" t="str">
        <x:v>Italia e altri mercati europei</x:v>
      </x:c>
      <x:c r="F28" s="32" t="str">
        <x:v>non trovato</x:v>
      </x:c>
      <x:c r="G28" s="32" t="str">
        <x:v>non trovato</x:v>
      </x:c>
      <x:c r="H28" s="32" t="str">
        <x:v>FinTech + costituzione con soggetto terzo</x:v>
      </x:c>
      <x:c r="I28" s="32" t="str">
        <x:v>Partnership servizi</x:v>
      </x:c>
      <x:c r="J28" s="32" t="str">
        <x:v>F: S.I. Creazione e Sviluppo d’Impresa srl nel pricing italiano</x:v>
      </x:c>
      <x:c r="K28" s="32" t="str">
        <x:v>non trovato</x:v>
      </x:c>
      <x:c r="L28" s="32" t="str">
        <x:v>non trovato</x:v>
      </x:c>
      <x:c r="M28" s="32" t="str">
        <x:v>non trovato</x:v>
      </x:c>
      <x:c r="N28" s="32" t="str">
        <x:v>non trovato</x:v>
      </x:c>
      <x:c r="O28" s="32" t="str">
        <x:v>non trovato</x:v>
      </x:c>
      <x:c r="P28" s="32" t="str">
        <x:v>non trovato</x:v>
      </x:c>
      <x:c r="Q28" s="32" t="str">
        <x:v>non trovato</x:v>
      </x:c>
      <x:c r="R28" s="32" t="str">
        <x:v>non trovato</x:v>
      </x:c>
      <x:c r="S28" s="32" t="str">
        <x:v>D: sì</x:v>
      </x:c>
      <x:c r="T28" s="32" t="str">
        <x:v>non trovato</x:v>
      </x:c>
      <x:c r="U28" s="32" t="str">
        <x:v>D: conto con verifiche proprie</x:v>
      </x:c>
      <x:c r="V28" s="32" t="str">
        <x:v>non trovato</x:v>
      </x:c>
      <x:c r="W28" s="32" t="str">
        <x:v>D: sì</x:v>
      </x:c>
      <x:c r="X28" s="32" t="str">
        <x:v>non trovato</x:v>
      </x:c>
      <x:c r="Y28" s="32" t="str">
        <x:v>non trovato</x:v>
      </x:c>
      <x:c r="Z28" s="32" t="str">
        <x:v>D: bancaria</x:v>
      </x:c>
      <x:c r="AA28" s="32" t="str">
        <x:v>non trovato</x:v>
      </x:c>
      <x:c r="AB28" s="32" t="str">
        <x:v>non trovato</x:v>
      </x:c>
      <x:c r="AC28" s="32" t="str">
        <x:v>non trovato</x:v>
      </x:c>
      <x:c r="AD28" s="32" t="str">
        <x:v>D: servizi e conto distinti; comparabile sede non trovato</x:v>
      </x:c>
      <x:c r="AE28" s="32" t="str">
        <x:v>non trovato</x:v>
      </x:c>
      <x:c r="AF28" s="32" t="str">
        <x:v>D: onboarding società e partnership</x:v>
      </x:c>
      <x:c r="AG28" s="32" t="str">
        <x:v>SEO formazione/finanza; SEM non trovato</x:v>
      </x:c>
      <x:c r="AH28" s="32" t="str">
        <x:v>non trovato</x:v>
      </x:c>
      <x:c r="AI28" s="32" t="str">
        <x:v>non trovato</x:v>
      </x:c>
      <x:c r="AJ28" s="32" t="str">
        <x:v>non trovato</x:v>
      </x:c>
      <x:c r="AK28" s="32" t="str">
        <x:v>NF: bilancio attribuibile non acquisito nelle fonti consultate; nessuna stima di fatturato da traffico/clienti.</x:v>
      </x:c>
      <x:c r="AL28" s="32" t="str">
        <x:v>NF: nessun numero di visite attendibile acquisito; non equivale a zero.</x:v>
      </x:c>
      <x:c r="AM28" s="32" t="str">
        <x:v>qo</x:v>
      </x:c>
    </x:row>
    <x:row r="29" ht="74" customHeight="1">
      <x:c r="A29" s="31" t="str">
        <x:v>LegalPlace</x:v>
      </x:c>
      <x:c r="B29" s="31" t="str">
        <x:v>https://www.legalplace.fr/tarifs</x:v>
      </x:c>
      <x:c r="C29" s="31" t="str">
        <x:v>D</x:v>
      </x:c>
      <x:c r="D29" s="31" t="str">
        <x:v>Francia</x:v>
      </x:c>
      <x:c r="E29" s="31" t="str">
        <x:v>Francia</x:v>
      </x:c>
      <x:c r="F29" s="31" t="str">
        <x:v>non trovato</x:v>
      </x:c>
      <x:c r="G29" s="31" t="str">
        <x:v>2016 · fondazione dichiarata</x:v>
      </x:c>
      <x:c r="H29" s="31" t="str">
        <x:v>LegalTech: formazione, indirizzo, accounting</x:v>
      </x:c>
      <x:c r="I29" s="31" t="str">
        <x:v>Servizi propri/partner, non marketplace aperto verificato</x:v>
      </x:c>
      <x:c r="J29" s="31" t="str">
        <x:v>F: Vivienne Domiciliation per sede</x:v>
      </x:c>
      <x:c r="K29" s="31" t="str">
        <x:v>D: sì</x:v>
      </x:c>
      <x:c r="L29" s="31" t="str">
        <x:v>non trovato</x:v>
      </x:c>
      <x:c r="M29" s="31" t="str">
        <x:v>D: sì</x:v>
      </x:c>
      <x:c r="N29" s="31" t="str">
        <x:v>D: sì</x:v>
      </x:c>
      <x:c r="O29" s="31" t="str">
        <x:v>non trovato</x:v>
      </x:c>
      <x:c r="P29" s="31" t="str">
        <x:v>non trovato</x:v>
      </x:c>
      <x:c r="Q29" s="31" t="str">
        <x:v>non trovato</x:v>
      </x:c>
      <x:c r="R29" s="31" t="str">
        <x:v>non trovato</x:v>
      </x:c>
      <x:c r="S29" s="31" t="str">
        <x:v>D: sì</x:v>
      </x:c>
      <x:c r="T29" s="31" t="str">
        <x:v>D: sì</x:v>
      </x:c>
      <x:c r="U29" s="31" t="str">
        <x:v>non trovato</x:v>
      </x:c>
      <x:c r="V29" s="31" t="str">
        <x:v>non trovato</x:v>
      </x:c>
      <x:c r="W29" s="31" t="str">
        <x:v>D: sì</x:v>
      </x:c>
      <x:c r="X29" s="31" t="str">
        <x:v>non trovato</x:v>
      </x:c>
      <x:c r="Y29" s="31" t="str">
        <x:v>non trovato</x:v>
      </x:c>
      <x:c r="Z29" s="31" t="str">
        <x:v>non trovato</x:v>
      </x:c>
      <x:c r="AA29" s="31" t="str">
        <x:v>non trovato</x:v>
      </x:c>
      <x:c r="AB29" s="31" t="str">
        <x:v>non trovato</x:v>
      </x:c>
      <x:c r="AC29" s="31" t="str">
        <x:v>non trovato</x:v>
      </x:c>
      <x:c r="AD29" s="31" t="str">
        <x:v>D: sede da €17 HT/mese; accounting da39; formazione onorari da0, spese escluse</x:v>
      </x:c>
      <x:c r="AE29" s="31" t="str">
        <x:v>non trovato</x:v>
      </x:c>
      <x:c r="AF29" s="31" t="str">
        <x:v>D: SEO giuridico e cross-sell</x:v>
      </x:c>
      <x:c r="AG29" s="31" t="str">
        <x:v>SEO formazione; SEM non trovato</x:v>
      </x:c>
      <x:c r="AH29" s="31" t="str">
        <x:v>non trovato</x:v>
      </x:c>
      <x:c r="AI29" s="31" t="str">
        <x:v>non trovato</x:v>
      </x:c>
      <x:c r="AJ29" s="31" t="str">
        <x:v>non trovato</x:v>
      </x:c>
      <x:c r="AK29" s="31" t="str">
        <x:v>NF: bilancio attribuibile non acquisito nelle fonti consultate; nessuna stima di fatturato da traffico/clienti.</x:v>
      </x:c>
      <x:c r="AL29" s="31" t="str">
        <x:v>NF: nessun numero di visite attendibile acquisito; non equivale a zero.</x:v>
      </x:c>
      <x:c r="AM29" s="31" t="str">
        <x:v>lp, ltp, bp_legalplace</x:v>
      </x:c>
    </x:row>
    <x:row r="30" ht="74" customHeight="1">
      <x:c r="A30" s="32" t="str">
        <x:v>Digidom</x:v>
      </x:c>
      <x:c r="B30" s="32" t="str">
        <x:v>https://www.digidom.pro/nos-adresses/domiciliation-entreprise</x:v>
      </x:c>
      <x:c r="C30" s="32" t="str">
        <x:v>C/D</x:v>
      </x:c>
      <x:c r="D30" s="32" t="str">
        <x:v>Francia</x:v>
      </x:c>
      <x:c r="E30" s="32" t="str">
        <x:v>Francia</x:v>
      </x:c>
      <x:c r="F30" s="32" t="str">
        <x:v>D: indirizzi in Francia</x:v>
      </x:c>
      <x:c r="G30" s="32" t="str">
        <x:v>2013 · avvio dichiarato</x:v>
      </x:c>
      <x:c r="H30" s="32" t="str">
        <x:v>Domiciliazione e servizi giuridici</x:v>
      </x:c>
      <x:c r="I30" s="32" t="str">
        <x:v>Operatore/rete, supply aperta non trovata</x:v>
      </x:c>
      <x:c r="J30" s="32" t="str">
        <x:v>non trovato</x:v>
      </x:c>
      <x:c r="K30" s="32" t="str">
        <x:v>D: sì</x:v>
      </x:c>
      <x:c r="L30" s="32" t="str">
        <x:v>non trovato</x:v>
      </x:c>
      <x:c r="M30" s="32" t="str">
        <x:v>D: sì</x:v>
      </x:c>
      <x:c r="N30" s="32" t="str">
        <x:v>non trovato</x:v>
      </x:c>
      <x:c r="O30" s="32" t="str">
        <x:v>non trovato</x:v>
      </x:c>
      <x:c r="P30" s="32" t="str">
        <x:v>non trovato</x:v>
      </x:c>
      <x:c r="Q30" s="32" t="str">
        <x:v>non trovato</x:v>
      </x:c>
      <x:c r="R30" s="32" t="str">
        <x:v>non trovato</x:v>
      </x:c>
      <x:c r="S30" s="32" t="str">
        <x:v>D: sì</x:v>
      </x:c>
      <x:c r="T30" s="32" t="str">
        <x:v>non trovato</x:v>
      </x:c>
      <x:c r="U30" s="32" t="str">
        <x:v>non trovato</x:v>
      </x:c>
      <x:c r="V30" s="32" t="str">
        <x:v>non trovato</x:v>
      </x:c>
      <x:c r="W30" s="32" t="str">
        <x:v>non trovato</x:v>
      </x:c>
      <x:c r="X30" s="32" t="str">
        <x:v>non trovato</x:v>
      </x:c>
      <x:c r="Y30" s="32" t="str">
        <x:v>non trovato</x:v>
      </x:c>
      <x:c r="Z30" s="32" t="str">
        <x:v>non trovato</x:v>
      </x:c>
      <x:c r="AA30" s="32" t="str">
        <x:v>non trovato</x:v>
      </x:c>
      <x:c r="AB30" s="32" t="str">
        <x:v>non trovato</x:v>
      </x:c>
      <x:c r="AC30" s="32" t="str">
        <x:v>non trovato</x:v>
      </x:c>
      <x:c r="AD30" s="32" t="str">
        <x:v>non trovato</x:v>
      </x:c>
      <x:c r="AE30" s="32" t="str">
        <x:v>non trovato</x:v>
      </x:c>
      <x:c r="AF30" s="32" t="str">
        <x:v>D: SEO domiciliazione/formalità</x:v>
      </x:c>
      <x:c r="AG30" s="32" t="str">
        <x:v>SEO locale; SEM non trovato</x:v>
      </x:c>
      <x:c r="AH30" s="32" t="str">
        <x:v>non trovato</x:v>
      </x:c>
      <x:c r="AI30" s="32" t="str">
        <x:v>non trovato</x:v>
      </x:c>
      <x:c r="AJ30" s="32" t="str">
        <x:v>non trovato</x:v>
      </x:c>
      <x:c r="AK30" s="32" t="str">
        <x:v>NF: bilancio attribuibile non acquisito nelle fonti consultate; nessuna stima di fatturato da traffico/clienti.</x:v>
      </x:c>
      <x:c r="AL30" s="32" t="str">
        <x:v>NF: nessun numero di visite attendibile acquisito; non equivale a zero.</x:v>
      </x:c>
      <x:c r="AM30" s="32" t="str">
        <x:v>dg, bp_digidom</x:v>
      </x:c>
    </x:row>
    <x:row r="31" ht="74" customHeight="1">
      <x:c r="A31" s="31" t="str">
        <x:v>DOMiCiLi</x:v>
      </x:c>
      <x:c r="B31" s="31" t="str">
        <x:v>https://www.domicili.fr/</x:v>
      </x:c>
      <x:c r="C31" s="31" t="str">
        <x:v>A/G</x:v>
      </x:c>
      <x:c r="D31" s="31" t="str">
        <x:v>Francia</x:v>
      </x:c>
      <x:c r="E31" s="31" t="str">
        <x:v>Francia</x:v>
      </x:c>
      <x:c r="F31" s="31" t="str">
        <x:v>non trovato</x:v>
      </x:c>
      <x:c r="G31" s="31" t="str">
        <x:v>non trovato</x:v>
      </x:c>
      <x:c r="H31" s="31" t="str">
        <x:v>Directory nazionale e dossier condiviso</x:v>
      </x:c>
      <x:c r="I31" s="31" t="str">
        <x:v>Rete domiciliatari indipendenti</x:v>
      </x:c>
      <x:c r="J31" s="31" t="str">
        <x:v>D: domiciliatari agréés o candidati</x:v>
      </x:c>
      <x:c r="K31" s="31" t="str">
        <x:v>D: sì</x:v>
      </x:c>
      <x:c r="L31" s="31" t="str">
        <x:v>non trovato</x:v>
      </x:c>
      <x:c r="M31" s="31" t="str">
        <x:v>D: secondo provider</x:v>
      </x:c>
      <x:c r="N31" s="31" t="str">
        <x:v>D: gestione digitale proposta</x:v>
      </x:c>
      <x:c r="O31" s="31" t="str">
        <x:v>non trovato</x:v>
      </x:c>
      <x:c r="P31" s="31" t="str">
        <x:v>non trovato</x:v>
      </x:c>
      <x:c r="Q31" s="31" t="str">
        <x:v>non trovato</x:v>
      </x:c>
      <x:c r="R31" s="31" t="str">
        <x:v>non trovato</x:v>
      </x:c>
      <x:c r="S31" s="31" t="str">
        <x:v>non trovato</x:v>
      </x:c>
      <x:c r="T31" s="31" t="str">
        <x:v>non trovato</x:v>
      </x:c>
      <x:c r="U31" s="31" t="str">
        <x:v>non trovato</x:v>
      </x:c>
      <x:c r="V31" s="31" t="str">
        <x:v>non trovato</x:v>
      </x:c>
      <x:c r="W31" s="31" t="str">
        <x:v>D: dossier a più operatori</x:v>
      </x:c>
      <x:c r="X31" s="31" t="str">
        <x:v>non trovato</x:v>
      </x:c>
      <x:c r="Y31" s="31" t="str">
        <x:v>non trovato</x:v>
      </x:c>
      <x:c r="Z31" s="31" t="str">
        <x:v>D: dossier/servizi</x:v>
      </x:c>
      <x:c r="AA31" s="31" t="str">
        <x:v>D: software domiciliatario</x:v>
      </x:c>
      <x:c r="AB31" s="31" t="str">
        <x:v>non trovato</x:v>
      </x:c>
      <x:c r="AC31" s="31" t="str">
        <x:v>non trovato</x:v>
      </x:c>
      <x:c r="AD31" s="31" t="str">
        <x:v>non trovato</x:v>
      </x:c>
      <x:c r="AE31" s="31" t="str">
        <x:v>non trovato</x:v>
      </x:c>
      <x:c r="AF31" s="31" t="str">
        <x:v>D: directory e provider</x:v>
      </x:c>
      <x:c r="AG31" s="31" t="str">
        <x:v>SEO regionale; SEM non trovato</x:v>
      </x:c>
      <x:c r="AH31" s="31" t="str">
        <x:v>non trovato</x:v>
      </x:c>
      <x:c r="AI31" s="31" t="str">
        <x:v>non trovato</x:v>
      </x:c>
      <x:c r="AJ31" s="31" t="str">
        <x:v>non trovato</x:v>
      </x:c>
      <x:c r="AK31" s="31" t="str">
        <x:v>NF: bilancio attribuibile non acquisito nelle fonti consultate; nessuna stima di fatturato da traffico/clienti.</x:v>
      </x:c>
      <x:c r="AL31" s="31" t="str">
        <x:v>NF: nessun numero di visite attendibile acquisito; non equivale a zero.</x:v>
      </x:c>
      <x:c r="AM31" s="31" t="str">
        <x:v>do</x:v>
      </x:c>
    </x:row>
    <x:row r="32" ht="74" customHeight="1">
      <x:c r="A32" s="32" t="str">
        <x:v>Àtic Group</x:v>
      </x:c>
      <x:c r="B32" s="32" t="str">
        <x:v>https://aticgroup.es/oficina-virtual/</x:v>
      </x:c>
      <x:c r="C32" s="32" t="str">
        <x:v>C</x:v>
      </x:c>
      <x:c r="D32" s="32" t="str">
        <x:v>Spagna</x:v>
      </x:c>
      <x:c r="E32" s="32" t="str">
        <x:v>Spagna</x:v>
      </x:c>
      <x:c r="F32" s="32" t="str">
        <x:v>Barcelona e Mataró</x:v>
      </x:c>
      <x:c r="G32" s="32" t="str">
        <x:v>non trovato</x:v>
      </x:c>
      <x:c r="H32" s="32" t="str">
        <x:v>Coworking e virtual office</x:v>
      </x:c>
      <x:c r="I32" s="32" t="str">
        <x:v>Rete locale</x:v>
      </x:c>
      <x:c r="J32" s="32" t="str">
        <x:v>non trovato</x:v>
      </x:c>
      <x:c r="K32" s="32" t="str">
        <x:v>D: indirizzo sociale/fiscale</x:v>
      </x:c>
      <x:c r="L32" s="32" t="str">
        <x:v>D: sì</x:v>
      </x:c>
      <x:c r="M32" s="32" t="str">
        <x:v>D: sì</x:v>
      </x:c>
      <x:c r="N32" s="32" t="str">
        <x:v>non trovato</x:v>
      </x:c>
      <x:c r="O32" s="32" t="str">
        <x:v>D: extra</x:v>
      </x:c>
      <x:c r="P32" s="32" t="str">
        <x:v>D: 1–2h nei pacchetti</x:v>
      </x:c>
      <x:c r="Q32" s="32" t="str">
        <x:v>D: sì</x:v>
      </x:c>
      <x:c r="R32" s="32" t="str">
        <x:v>D: sì</x:v>
      </x:c>
      <x:c r="S32" s="32" t="str">
        <x:v>non trovato</x:v>
      </x:c>
      <x:c r="T32" s="32" t="str">
        <x:v>non trovato</x:v>
      </x:c>
      <x:c r="U32" s="32" t="str">
        <x:v>non trovato</x:v>
      </x:c>
      <x:c r="V32" s="32" t="str">
        <x:v>non trovato</x:v>
      </x:c>
      <x:c r="W32" s="32" t="str">
        <x:v>D: contratación online</x:v>
      </x:c>
      <x:c r="X32" s="32" t="str">
        <x:v>non trovato</x:v>
      </x:c>
      <x:c r="Y32" s="32" t="str">
        <x:v>non trovato</x:v>
      </x:c>
      <x:c r="Z32" s="32" t="str">
        <x:v>non trovato</x:v>
      </x:c>
      <x:c r="AA32" s="32" t="str">
        <x:v>non trovato</x:v>
      </x:c>
      <x:c r="AB32" s="32" t="str">
        <x:v>non trovato</x:v>
      </x:c>
      <x:c r="AC32" s="32" t="str">
        <x:v>non trovato</x:v>
      </x:c>
      <x:c r="AD32" s="32" t="str">
        <x:v>D: Basic29; VO35 annuale/45 mensile; Premium65 annuale/75 mensile, IVA extra</x:v>
      </x:c>
      <x:c r="AE32" s="32" t="str">
        <x:v>non trovato</x:v>
      </x:c>
      <x:c r="AF32" s="32" t="str">
        <x:v>D: SEO locale e rete</x:v>
      </x:c>
      <x:c r="AG32" s="32" t="str">
        <x:v>SEO Barcelona; SEM non trovato</x:v>
      </x:c>
      <x:c r="AH32" s="32" t="str">
        <x:v>non trovato</x:v>
      </x:c>
      <x:c r="AI32" s="32" t="str">
        <x:v>non trovato</x:v>
      </x:c>
      <x:c r="AJ32" s="32" t="str">
        <x:v>non trovato</x:v>
      </x:c>
      <x:c r="AK32" s="32" t="str">
        <x:v>NF: bilancio attribuibile non acquisito nelle fonti consultate; nessuna stima di fatturato da traffico/clienti.</x:v>
      </x:c>
      <x:c r="AL32" s="32" t="str">
        <x:v>NF: nessun numero di visite attendibile acquisito; non equivale a zero.</x:v>
      </x:c>
      <x:c r="AM32" s="32" t="str">
        <x:v>at</x:v>
      </x:c>
    </x:row>
    <x:row r="33" ht="74" customHeight="1">
      <x:c r="A33" s="31" t="str">
        <x:v>PriOffice</x:v>
      </x:c>
      <x:c r="B33" s="31" t="str">
        <x:v>https://www.prioffice.eu/tarieven/</x:v>
      </x:c>
      <x:c r="C33" s="31" t="str">
        <x:v>C</x:v>
      </x:c>
      <x:c r="D33" s="31" t="str">
        <x:v>Paesi Bassi</x:v>
      </x:c>
      <x:c r="E33" s="31" t="str">
        <x:v>Paesi Bassi</x:v>
      </x:c>
      <x:c r="F33" s="31" t="str">
        <x:v>non trovato</x:v>
      </x:c>
      <x:c r="G33" s="31" t="str">
        <x:v>non trovato</x:v>
      </x:c>
      <x:c r="H33" s="31" t="str">
        <x:v>Uffici e indirizzi locali</x:v>
      </x:c>
      <x:c r="I33" s="31" t="str">
        <x:v>Rete locale</x:v>
      </x:c>
      <x:c r="J33" s="31" t="str">
        <x:v>non trovato</x:v>
      </x:c>
      <x:c r="K33" s="31" t="str">
        <x:v>non trovato</x:v>
      </x:c>
      <x:c r="L33" s="31" t="str">
        <x:v>D: sì</x:v>
      </x:c>
      <x:c r="M33" s="31" t="str">
        <x:v>D: sì</x:v>
      </x:c>
      <x:c r="N33" s="31" t="str">
        <x:v>non trovato</x:v>
      </x:c>
      <x:c r="O33" s="31" t="str">
        <x:v>non trovato</x:v>
      </x:c>
      <x:c r="P33" s="31" t="str">
        <x:v>non trovato</x:v>
      </x:c>
      <x:c r="Q33" s="31" t="str">
        <x:v>non trovato</x:v>
      </x:c>
      <x:c r="R33" s="31" t="str">
        <x:v>non trovato</x:v>
      </x:c>
      <x:c r="S33" s="31" t="str">
        <x:v>non trovato</x:v>
      </x:c>
      <x:c r="T33" s="31" t="str">
        <x:v>non trovato</x:v>
      </x:c>
      <x:c r="U33" s="31" t="str">
        <x:v>non trovato</x:v>
      </x:c>
      <x:c r="V33" s="31" t="str">
        <x:v>non trovato</x:v>
      </x:c>
      <x:c r="W33" s="31" t="str">
        <x:v>non trovato</x:v>
      </x:c>
      <x:c r="X33" s="31" t="str">
        <x:v>non trovato</x:v>
      </x:c>
      <x:c r="Y33" s="31" t="str">
        <x:v>non trovato</x:v>
      </x:c>
      <x:c r="Z33" s="31" t="str">
        <x:v>non trovato</x:v>
      </x:c>
      <x:c r="AA33" s="31" t="str">
        <x:v>non trovato</x:v>
      </x:c>
      <x:c r="AB33" s="31" t="str">
        <x:v>non trovato</x:v>
      </x:c>
      <x:c r="AC33" s="31" t="str">
        <x:v>non trovato</x:v>
      </x:c>
      <x:c r="AD33" s="31" t="str">
        <x:v>D: setup €37,50 e deposito €100; canone comparabile non consolidato</x:v>
      </x:c>
      <x:c r="AE33" s="31" t="str">
        <x:v>non trovato</x:v>
      </x:c>
      <x:c r="AF33" s="31" t="str">
        <x:v>D: SEO locale</x:v>
      </x:c>
      <x:c r="AG33" s="31" t="str">
        <x:v>SEO; SEM non trovato</x:v>
      </x:c>
      <x:c r="AH33" s="31" t="str">
        <x:v>non trovato</x:v>
      </x:c>
      <x:c r="AI33" s="31" t="str">
        <x:v>non trovato</x:v>
      </x:c>
      <x:c r="AJ33" s="31" t="str">
        <x:v>non trovato</x:v>
      </x:c>
      <x:c r="AK33" s="31" t="str">
        <x:v>NF: bilancio attribuibile non acquisito nelle fonti consultate; nessuna stima di fatturato da traffico/clienti.</x:v>
      </x:c>
      <x:c r="AL33" s="31" t="str">
        <x:v>NF: nessun numero di visite attendibile acquisito; non equivale a zero.</x:v>
      </x:c>
      <x:c r="AM33" s="31" t="str">
        <x:v>pr</x:v>
      </x:c>
    </x:row>
    <x:row r="34" ht="74" customHeight="1">
      <x:c r="A34" s="32" t="str">
        <x:v>1Office</x:v>
      </x:c>
      <x:c r="B34" s="32" t="str">
        <x:v>https://1office.co/</x:v>
      </x:c>
      <x:c r="C34" s="32" t="str">
        <x:v>D</x:v>
      </x:c>
      <x:c r="D34" s="32" t="str">
        <x:v>Estonia / gruppo nordeuropeo</x:v>
      </x:c>
      <x:c r="E34" s="32" t="str">
        <x:v>D: sette paesi; verificare offerta nazionale</x:v>
      </x:c>
      <x:c r="F34" s="32" t="str">
        <x:v>non trovato</x:v>
      </x:c>
      <x:c r="G34" s="32" t="str">
        <x:v>2008 · avvio servizi uffici/virtual office dichiarato</x:v>
      </x:c>
      <x:c r="H34" s="32" t="str">
        <x:v>Formazione, indirizzo e contabilità</x:v>
      </x:c>
      <x:c r="I34" s="32" t="str">
        <x:v>Gruppo servizi, non marketplace aperto dimostrato</x:v>
      </x:c>
      <x:c r="J34" s="32" t="str">
        <x:v>non trovato</x:v>
      </x:c>
      <x:c r="K34" s="32" t="str">
        <x:v>D: sì</x:v>
      </x:c>
      <x:c r="L34" s="32" t="str">
        <x:v>non trovato</x:v>
      </x:c>
      <x:c r="M34" s="32" t="str">
        <x:v>D: sì</x:v>
      </x:c>
      <x:c r="N34" s="32" t="str">
        <x:v>non trovato</x:v>
      </x:c>
      <x:c r="O34" s="32" t="str">
        <x:v>non trovato</x:v>
      </x:c>
      <x:c r="P34" s="32" t="str">
        <x:v>non trovato</x:v>
      </x:c>
      <x:c r="Q34" s="32" t="str">
        <x:v>non trovato</x:v>
      </x:c>
      <x:c r="R34" s="32" t="str">
        <x:v>non trovato</x:v>
      </x:c>
      <x:c r="S34" s="32" t="str">
        <x:v>D: sì</x:v>
      </x:c>
      <x:c r="T34" s="32" t="str">
        <x:v>D: sì</x:v>
      </x:c>
      <x:c r="U34" s="32" t="str">
        <x:v>non trovato</x:v>
      </x:c>
      <x:c r="V34" s="32" t="str">
        <x:v>non trovato</x:v>
      </x:c>
      <x:c r="W34" s="32" t="str">
        <x:v>D: sì</x:v>
      </x:c>
      <x:c r="X34" s="32" t="str">
        <x:v>non trovato</x:v>
      </x:c>
      <x:c r="Y34" s="32" t="str">
        <x:v>non trovato</x:v>
      </x:c>
      <x:c r="Z34" s="32" t="str">
        <x:v>non trovato</x:v>
      </x:c>
      <x:c r="AA34" s="32" t="str">
        <x:v>non trovato</x:v>
      </x:c>
      <x:c r="AB34" s="32" t="str">
        <x:v>non trovato</x:v>
      </x:c>
      <x:c r="AC34" s="32" t="str">
        <x:v>non trovato</x:v>
      </x:c>
      <x:c r="AD34" s="32" t="str">
        <x:v>non trovato</x:v>
      </x:c>
      <x:c r="AE34" s="32" t="str">
        <x:v>non trovato</x:v>
      </x:c>
      <x:c r="AF34" s="32" t="str">
        <x:v>D: internazionalizzazione e SEO</x:v>
      </x:c>
      <x:c r="AG34" s="32" t="str">
        <x:v>SEO formation; SEM non trovato</x:v>
      </x:c>
      <x:c r="AH34" s="32" t="str">
        <x:v>non trovato</x:v>
      </x:c>
      <x:c r="AI34" s="32" t="str">
        <x:v>non trovato</x:v>
      </x:c>
      <x:c r="AJ34" s="32" t="str">
        <x:v>non trovato</x:v>
      </x:c>
      <x:c r="AK34" s="32" t="str">
        <x:v>NF: bilancio attribuibile non acquisito nelle fonti consultate; nessuna stima di fatturato da traffico/clienti.</x:v>
      </x:c>
      <x:c r="AL34" s="32" t="str">
        <x:v>NF: nessun numero di visite attendibile acquisito; non equivale a zero.</x:v>
      </x:c>
      <x:c r="AM34" s="32" t="str">
        <x:v>of, bp_oneoffice</x:v>
      </x:c>
    </x:row>
    <x:row r="35" ht="113" customHeight="1">
      <x:c r="A35" s="31" t="str">
        <x:v>Xolo</x:v>
      </x:c>
      <x:c r="B35" s="31" t="str">
        <x:v>https://www.xolo.io/zz-en/faq/search?product=all&amp;term=xolo+company</x:v>
      </x:c>
      <x:c r="C35" s="31" t="str">
        <x:v>D/E</x:v>
      </x:c>
      <x:c r="D35" s="31" t="str">
        <x:v>Estonia</x:v>
      </x:c>
      <x:c r="E35" s="31" t="str">
        <x:v>Estonia e servizi internazionali secondo prodotto</x:v>
      </x:c>
      <x:c r="F35" s="31" t="str">
        <x:v>non trovato</x:v>
      </x:c>
      <x:c r="G35" s="31" t="str">
        <x:v>Maggio2015 · nascita LeapIN; rebranding Xolo2019</x:v>
      </x:c>
      <x:c r="H35" s="31" t="str">
        <x:v>Amministrazione e accounting digitale</x:v>
      </x:c>
      <x:c r="I35" s="31" t="str">
        <x:v>Piattaforma gestita</x:v>
      </x:c>
      <x:c r="J35" s="31" t="str">
        <x:v>non trovato</x:v>
      </x:c>
      <x:c r="K35" s="31" t="str">
        <x:v>D: con servizio estone idoneo</x:v>
      </x:c>
      <x:c r="L35" s="31" t="str">
        <x:v>non trovato</x:v>
      </x:c>
      <x:c r="M35" s="31" t="str">
        <x:v>non trovato</x:v>
      </x:c>
      <x:c r="N35" s="31" t="str">
        <x:v>non trovato</x:v>
      </x:c>
      <x:c r="O35" s="31" t="str">
        <x:v>non trovato</x:v>
      </x:c>
      <x:c r="P35" s="31" t="str">
        <x:v>non trovato</x:v>
      </x:c>
      <x:c r="Q35" s="31" t="str">
        <x:v>non trovato</x:v>
      </x:c>
      <x:c r="R35" s="31" t="str">
        <x:v>non trovato</x:v>
      </x:c>
      <x:c r="S35" s="31" t="str">
        <x:v>D: sì per prodotto</x:v>
      </x:c>
      <x:c r="T35" s="31" t="str">
        <x:v>D: sì</x:v>
      </x:c>
      <x:c r="U35" s="31" t="str">
        <x:v>non trovato</x:v>
      </x:c>
      <x:c r="V35" s="31" t="str">
        <x:v>non trovato</x:v>
      </x:c>
      <x:c r="W35" s="31" t="str">
        <x:v>D: sì</x:v>
      </x:c>
      <x:c r="X35" s="31" t="str">
        <x:v>non trovato</x:v>
      </x:c>
      <x:c r="Y35" s="31" t="str">
        <x:v>non trovato</x:v>
      </x:c>
      <x:c r="Z35" s="31" t="str">
        <x:v>D: sì</x:v>
      </x:c>
      <x:c r="AA35" s="31" t="str">
        <x:v>non trovato</x:v>
      </x:c>
      <x:c r="AB35" s="31" t="str">
        <x:v>non trovato</x:v>
      </x:c>
      <x:c r="AC35" s="31" t="str">
        <x:v>non trovato</x:v>
      </x:c>
      <x:c r="AD35" s="31" t="str">
        <x:v>non trovato</x:v>
      </x:c>
      <x:c r="AE35" s="31" t="str">
        <x:v>non trovato</x:v>
      </x:c>
      <x:c r="AF35" s="31" t="str">
        <x:v>D: e-residency e contenuti</x:v>
      </x:c>
      <x:c r="AG35" s="31" t="str">
        <x:v>SEO freelance/formazione; SEM non trovato</x:v>
      </x:c>
      <x:c r="AH35" s="31" t="str">
        <x:v>non trovato</x:v>
      </x:c>
      <x:c r="AI35" s="31" t="str">
        <x:v>non trovato</x:v>
      </x:c>
      <x:c r="AJ35" s="31" t="str">
        <x:v>non trovato</x:v>
      </x:c>
      <x:c r="AK35" s="31" t="str">
        <x:v>Dicembre2025 · EUR · dichiarazione aziendale — Revenue run-rate10 milioni: metrica annualizzata dichiarata, NON ricavi consuntivi2025 né bilancio. Redditività, cassa e patrimonio non acquisiti.</x:v>
      </x:c>
      <x:c r="AL35" s="31" t="str">
        <x:v>NF: nessun numero di visite attendibile acquisito; non equivale a zero.</x:v>
      </x:c>
      <x:c r="AM35" s="31" t="str">
        <x:v>xo, bp_xolofound</x:v>
      </x:c>
    </x:row>
    <x:row r="36" ht="74" customHeight="1">
      <x:c r="A36" s="32" t="str">
        <x:v>e-Residency Marketplace</x:v>
      </x:c>
      <x:c r="B36" s="32" t="str">
        <x:v>https://learn.e-resident.gov.ee/hc/en-gb/articles/25502557665809-e-Residency-Marketplace-what-is-it-and-how-to-use-it</x:v>
      </x:c>
      <x:c r="C36" s="32" t="str">
        <x:v>D/G</x:v>
      </x:c>
      <x:c r="D36" s="32" t="str">
        <x:v>Estonia</x:v>
      </x:c>
      <x:c r="E36" s="32" t="str">
        <x:v>Ecosistema estone internazionale</x:v>
      </x:c>
      <x:c r="F36" s="32" t="str">
        <x:v>non trovato</x:v>
      </x:c>
      <x:c r="G36" s="32" t="str">
        <x:v>non trovato</x:v>
      </x:c>
      <x:c r="H36" s="32" t="str">
        <x:v>Marketplace istituzionale di provider</x:v>
      </x:c>
      <x:c r="I36" s="32" t="str">
        <x:v>Directory verificata, non merchant unico</x:v>
      </x:c>
      <x:c r="J36" s="32" t="str">
        <x:v>D: formation/accounting/contact person</x:v>
      </x:c>
      <x:c r="K36" s="32" t="str">
        <x:v>D: provider filtrabili</x:v>
      </x:c>
      <x:c r="L36" s="32" t="str">
        <x:v>non trovato</x:v>
      </x:c>
      <x:c r="M36" s="32" t="str">
        <x:v>non trovato</x:v>
      </x:c>
      <x:c r="N36" s="32" t="str">
        <x:v>non trovato</x:v>
      </x:c>
      <x:c r="O36" s="32" t="str">
        <x:v>non trovato</x:v>
      </x:c>
      <x:c r="P36" s="32" t="str">
        <x:v>non trovato</x:v>
      </x:c>
      <x:c r="Q36" s="32" t="str">
        <x:v>non trovato</x:v>
      </x:c>
      <x:c r="R36" s="32" t="str">
        <x:v>non trovato</x:v>
      </x:c>
      <x:c r="S36" s="32" t="str">
        <x:v>D: provider</x:v>
      </x:c>
      <x:c r="T36" s="32" t="str">
        <x:v>D: provider</x:v>
      </x:c>
      <x:c r="U36" s="32" t="str">
        <x:v>non trovato</x:v>
      </x:c>
      <x:c r="V36" s="32" t="str">
        <x:v>non trovato</x:v>
      </x:c>
      <x:c r="W36" s="32" t="str">
        <x:v>non trovato</x:v>
      </x:c>
      <x:c r="X36" s="32" t="str">
        <x:v>non trovato</x:v>
      </x:c>
      <x:c r="Y36" s="32" t="str">
        <x:v>non trovato</x:v>
      </x:c>
      <x:c r="Z36" s="32" t="str">
        <x:v>non trovato</x:v>
      </x:c>
      <x:c r="AA36" s="32" t="str">
        <x:v>non trovato</x:v>
      </x:c>
      <x:c r="AB36" s="32" t="str">
        <x:v>non trovato</x:v>
      </x:c>
      <x:c r="AC36" s="32" t="str">
        <x:v>non trovato</x:v>
      </x:c>
      <x:c r="AD36" s="32" t="str">
        <x:v>D: per provider</x:v>
      </x:c>
      <x:c r="AE36" s="32" t="str">
        <x:v>non trovato</x:v>
      </x:c>
      <x:c r="AF36" s="32" t="str">
        <x:v>D: programma pubblico e-residency</x:v>
      </x:c>
      <x:c r="AG36" s="32" t="str">
        <x:v>Canale istituzionale; SEM non trovato</x:v>
      </x:c>
      <x:c r="AH36" s="32" t="str">
        <x:v>I: forte alternativa al discovery integrato</x:v>
      </x:c>
      <x:c r="AI36" s="32" t="str">
        <x:v>non trovato</x:v>
      </x:c>
      <x:c r="AJ36" s="32" t="str">
        <x:v>non trovato</x:v>
      </x:c>
      <x:c r="AK36" s="32" t="str">
        <x:v>NF: bilancio attribuibile non acquisito nelle fonti consultate; nessuna stima di fatturato da traffico/clienti.</x:v>
      </x:c>
      <x:c r="AL36" s="32" t="str">
        <x:v>NF: nessun numero di visite attendibile acquisito; non equivale a zero.</x:v>
      </x:c>
      <x:c r="AM36" s="32" t="str">
        <x:v>en, ec</x:v>
      </x:c>
    </x:row>
    <x:row r="37" ht="74" customHeight="1">
      <x:c r="A37" s="31" t="str">
        <x:v>Entreprendre.ch</x:v>
      </x:c>
      <x:c r="B37" s="31" t="str">
        <x:v>https://entreprendre.ch/services-entreprises/domiciliation-geneve/</x:v>
      </x:c>
      <x:c r="C37" s="31" t="str">
        <x:v>C/D</x:v>
      </x:c>
      <x:c r="D37" s="31" t="str">
        <x:v>Svizzera</x:v>
      </x:c>
      <x:c r="E37" s="31" t="str">
        <x:v>Svizzera</x:v>
      </x:c>
      <x:c r="F37" s="31" t="str">
        <x:v>Genève, route de Chêne 5</x:v>
      </x:c>
      <x:c r="G37" s="31" t="str">
        <x:v>non trovato</x:v>
      </x:c>
      <x:c r="H37" s="31" t="str">
        <x:v>Fiduciaria e domiciliazione</x:v>
      </x:c>
      <x:c r="I37" s="31" t="str">
        <x:v>Operatore locale</x:v>
      </x:c>
      <x:c r="J37" s="31" t="str">
        <x:v>non trovato</x:v>
      </x:c>
      <x:c r="K37" s="31" t="str">
        <x:v>D: sì</x:v>
      </x:c>
      <x:c r="L37" s="31" t="str">
        <x:v>D: sì</x:v>
      </x:c>
      <x:c r="M37" s="31" t="str">
        <x:v>D: opzioni</x:v>
      </x:c>
      <x:c r="N37" s="31" t="str">
        <x:v>D: opzione</x:v>
      </x:c>
      <x:c r="O37" s="31" t="str">
        <x:v>D: opzione</x:v>
      </x:c>
      <x:c r="P37" s="31" t="str">
        <x:v>non trovato</x:v>
      </x:c>
      <x:c r="Q37" s="31" t="str">
        <x:v>non trovato</x:v>
      </x:c>
      <x:c r="R37" s="31" t="str">
        <x:v>non trovato</x:v>
      </x:c>
      <x:c r="S37" s="31" t="str">
        <x:v>D: sì</x:v>
      </x:c>
      <x:c r="T37" s="31" t="str">
        <x:v>D: servizi fiduciari</x:v>
      </x:c>
      <x:c r="U37" s="31" t="str">
        <x:v>non trovato</x:v>
      </x:c>
      <x:c r="V37" s="31" t="str">
        <x:v>non trovato</x:v>
      </x:c>
      <x:c r="W37" s="31" t="str">
        <x:v>non trovato</x:v>
      </x:c>
      <x:c r="X37" s="31" t="str">
        <x:v>non trovato</x:v>
      </x:c>
      <x:c r="Y37" s="31" t="str">
        <x:v>non trovato</x:v>
      </x:c>
      <x:c r="Z37" s="31" t="str">
        <x:v>non trovato</x:v>
      </x:c>
      <x:c r="AA37" s="31" t="str">
        <x:v>non trovato</x:v>
      </x:c>
      <x:c r="AB37" s="31" t="str">
        <x:v>non trovato</x:v>
      </x:c>
      <x:c r="AC37" s="31" t="str">
        <x:v>non trovato</x:v>
      </x:c>
      <x:c r="AD37" s="31" t="str">
        <x:v>D: CHF99/mese c/o; CHF109 nome proprio; IVA extra, posta da10</x:v>
      </x:c>
      <x:c r="AE37" s="31" t="str">
        <x:v>non trovato</x:v>
      </x:c>
      <x:c r="AF37" s="31" t="str">
        <x:v>D: formazione e SEO</x:v>
      </x:c>
      <x:c r="AG37" s="31" t="str">
        <x:v>SEO Genève; SEM non trovato</x:v>
      </x:c>
      <x:c r="AH37" s="31" t="str">
        <x:v>non trovato</x:v>
      </x:c>
      <x:c r="AI37" s="31" t="str">
        <x:v>non trovato</x:v>
      </x:c>
      <x:c r="AJ37" s="31" t="str">
        <x:v>non trovato</x:v>
      </x:c>
      <x:c r="AK37" s="31" t="str">
        <x:v>NF: bilancio attribuibile non acquisito nelle fonti consultate; nessuna stima di fatturato da traffico/clienti.</x:v>
      </x:c>
      <x:c r="AL37" s="31" t="str">
        <x:v>NF: nessun numero di visite attendibile acquisito; non equivale a zero.</x:v>
      </x:c>
      <x:c r="AM37" s="31" t="str">
        <x:v>eg</x:v>
      </x:c>
    </x:row>
    <x:row r="38" ht="74" customHeight="1">
      <x:c r="A38" s="32" t="str">
        <x:v>RISTER</x:v>
      </x:c>
      <x:c r="B38" s="32" t="str">
        <x:v>https://www.rister.ch/en/service/company-domiciliation-registered-address-switzerland-geneva/</x:v>
      </x:c>
      <x:c r="C38" s="32" t="str">
        <x:v>C/D</x:v>
      </x:c>
      <x:c r="D38" s="32" t="str">
        <x:v>Svizzera</x:v>
      </x:c>
      <x:c r="E38" s="32" t="str">
        <x:v>Svizzera</x:v>
      </x:c>
      <x:c r="F38" s="32" t="str">
        <x:v>D: Genève, Lausanne, Zurich, Lucerne, Zug</x:v>
      </x:c>
      <x:c r="G38" s="32" t="str">
        <x:v>non trovato</x:v>
      </x:c>
      <x:c r="H38" s="32" t="str">
        <x:v>Fiduciaria e domiciliazione multi-cantone</x:v>
      </x:c>
      <x:c r="I38" s="32" t="str">
        <x:v>Operatore fiduciario</x:v>
      </x:c>
      <x:c r="J38" s="32" t="str">
        <x:v>non trovato</x:v>
      </x:c>
      <x:c r="K38" s="32" t="str">
        <x:v>D: sì</x:v>
      </x:c>
      <x:c r="L38" s="32" t="str">
        <x:v>non trovato</x:v>
      </x:c>
      <x:c r="M38" s="32" t="str">
        <x:v>D: sì</x:v>
      </x:c>
      <x:c r="N38" s="32" t="str">
        <x:v>D: opzione</x:v>
      </x:c>
      <x:c r="O38" s="32" t="str">
        <x:v>D: opzione</x:v>
      </x:c>
      <x:c r="P38" s="32" t="str">
        <x:v>non trovato</x:v>
      </x:c>
      <x:c r="Q38" s="32" t="str">
        <x:v>non trovato</x:v>
      </x:c>
      <x:c r="R38" s="32" t="str">
        <x:v>non trovato</x:v>
      </x:c>
      <x:c r="S38" s="32" t="str">
        <x:v>D: sì</x:v>
      </x:c>
      <x:c r="T38" s="32" t="str">
        <x:v>D: sì</x:v>
      </x:c>
      <x:c r="U38" s="32" t="str">
        <x:v>non trovato</x:v>
      </x:c>
      <x:c r="V38" s="32" t="str">
        <x:v>non trovato</x:v>
      </x:c>
      <x:c r="W38" s="32" t="str">
        <x:v>non trovato</x:v>
      </x:c>
      <x:c r="X38" s="32" t="str">
        <x:v>non trovato</x:v>
      </x:c>
      <x:c r="Y38" s="32" t="str">
        <x:v>non trovato</x:v>
      </x:c>
      <x:c r="Z38" s="32" t="str">
        <x:v>non trovato</x:v>
      </x:c>
      <x:c r="AA38" s="32" t="str">
        <x:v>non trovato</x:v>
      </x:c>
      <x:c r="AB38" s="32" t="str">
        <x:v>non trovato</x:v>
      </x:c>
      <x:c r="AC38" s="32" t="str">
        <x:v>non trovato</x:v>
      </x:c>
      <x:c r="AD38" s="32" t="str">
        <x:v>D: preventivo per volume e servizio</x:v>
      </x:c>
      <x:c r="AE38" s="32" t="str">
        <x:v>non trovato</x:v>
      </x:c>
      <x:c r="AF38" s="32" t="str">
        <x:v>D: SEO e consulenza</x:v>
      </x:c>
      <x:c r="AG38" s="32" t="str">
        <x:v>SEO internazionale; SEM non trovato</x:v>
      </x:c>
      <x:c r="AH38" s="32" t="str">
        <x:v>non trovato</x:v>
      </x:c>
      <x:c r="AI38" s="32" t="str">
        <x:v>non trovato</x:v>
      </x:c>
      <x:c r="AJ38" s="32" t="str">
        <x:v>non trovato</x:v>
      </x:c>
      <x:c r="AK38" s="32" t="str">
        <x:v>NF: bilancio attribuibile non acquisito nelle fonti consultate; nessuna stima di fatturato da traffico/clienti.</x:v>
      </x:c>
      <x:c r="AL38" s="32" t="str">
        <x:v>NF: nessun numero di visite attendibile acquisito; non equivale a zero.</x:v>
      </x:c>
      <x:c r="AM38" s="32" t="str">
        <x:v>ri</x:v>
      </x:c>
    </x:row>
    <x:row r="39" ht="74" customHeight="1">
      <x:c r="A39" s="31" t="str">
        <x:v>ONE PLUS</x:v>
      </x:c>
      <x:c r="B39" s="31" t="str">
        <x:v>https://www.one-plus.pl/en/services/virtual-office-en/</x:v>
      </x:c>
      <x:c r="C39" s="31" t="str">
        <x:v>C</x:v>
      </x:c>
      <x:c r="D39" s="31" t="str">
        <x:v>Polonia</x:v>
      </x:c>
      <x:c r="E39" s="31" t="str">
        <x:v>Polonia</x:v>
      </x:c>
      <x:c r="F39" s="31" t="str">
        <x:v>Wrocław, Piłsudskiego 43</x:v>
      </x:c>
      <x:c r="G39" s="31" t="str">
        <x:v>D: 2018</x:v>
      </x:c>
      <x:c r="H39" s="31" t="str">
        <x:v>Virtual office locale</x:v>
      </x:c>
      <x:c r="I39" s="31" t="str">
        <x:v>Operatore locale</x:v>
      </x:c>
      <x:c r="J39" s="31" t="str">
        <x:v>non trovato</x:v>
      </x:c>
      <x:c r="K39" s="31" t="str">
        <x:v>D: sì</x:v>
      </x:c>
      <x:c r="L39" s="31" t="str">
        <x:v>D: sì</x:v>
      </x:c>
      <x:c r="M39" s="31" t="str">
        <x:v>D: sì</x:v>
      </x:c>
      <x:c r="N39" s="31" t="str">
        <x:v>D: sì</x:v>
      </x:c>
      <x:c r="O39" s="31" t="str">
        <x:v>non trovato</x:v>
      </x:c>
      <x:c r="P39" s="31" t="str">
        <x:v>non trovato</x:v>
      </x:c>
      <x:c r="Q39" s="31" t="str">
        <x:v>non trovato</x:v>
      </x:c>
      <x:c r="R39" s="31" t="str">
        <x:v>non trovato</x:v>
      </x:c>
      <x:c r="S39" s="31" t="str">
        <x:v>non trovato</x:v>
      </x:c>
      <x:c r="T39" s="31" t="str">
        <x:v>non trovato</x:v>
      </x:c>
      <x:c r="U39" s="31" t="str">
        <x:v>non trovato</x:v>
      </x:c>
      <x:c r="V39" s="31" t="str">
        <x:v>non trovato</x:v>
      </x:c>
      <x:c r="W39" s="31" t="str">
        <x:v>non trovato</x:v>
      </x:c>
      <x:c r="X39" s="31" t="str">
        <x:v>non trovato</x:v>
      </x:c>
      <x:c r="Y39" s="31" t="str">
        <x:v>non trovato</x:v>
      </x:c>
      <x:c r="Z39" s="31" t="str">
        <x:v>D: sì</x:v>
      </x:c>
      <x:c r="AA39" s="31" t="str">
        <x:v>non trovato</x:v>
      </x:c>
      <x:c r="AB39" s="31" t="str">
        <x:v>non trovato</x:v>
      </x:c>
      <x:c r="AC39" s="31" t="str">
        <x:v>non trovato</x:v>
      </x:c>
      <x:c r="AD39" s="31" t="str">
        <x:v>D: PLN600 primo anno; PLN792 successivi, netti</x:v>
      </x:c>
      <x:c r="AE39" s="31" t="str">
        <x:v>non trovato</x:v>
      </x:c>
      <x:c r="AF39" s="31" t="str">
        <x:v>D: SEO bilingue</x:v>
      </x:c>
      <x:c r="AG39" s="31" t="str">
        <x:v>SEO Wrocław; SEM non trovato</x:v>
      </x:c>
      <x:c r="AH39" s="31" t="str">
        <x:v>non trovato</x:v>
      </x:c>
      <x:c r="AI39" s="31" t="str">
        <x:v>non trovato</x:v>
      </x:c>
      <x:c r="AJ39" s="31" t="str">
        <x:v>non trovato</x:v>
      </x:c>
      <x:c r="AK39" s="31" t="str">
        <x:v>NF: bilancio attribuibile non acquisito nelle fonti consultate; nessuna stima di fatturato da traffico/clienti.</x:v>
      </x:c>
      <x:c r="AL39" s="31" t="str">
        <x:v>NF: nessun numero di visite attendibile acquisito; non equivale a zero.</x:v>
      </x:c>
      <x:c r="AM39" s="31" t="str">
        <x:v>po, pl</x:v>
      </x:c>
    </x:row>
    <x:row r="40" ht="74" customHeight="1">
      <x:c r="A40" s="32" t="str">
        <x:v>1st Formations</x:v>
      </x:c>
      <x:c r="B40" s="32" t="str">
        <x:v>https://www.1stformations.co.uk/pricing/</x:v>
      </x:c>
      <x:c r="C40" s="32" t="str">
        <x:v>D</x:v>
      </x:c>
      <x:c r="D40" s="32" t="str">
        <x:v>Regno Unito</x:v>
      </x:c>
      <x:c r="E40" s="32" t="str">
        <x:v>Regno Unito</x:v>
      </x:c>
      <x:c r="F40" s="32" t="str">
        <x:v>D: London per pacchetti osservati</x:v>
      </x:c>
      <x:c r="G40" s="32" t="str">
        <x:v>non trovato</x:v>
      </x:c>
      <x:c r="H40" s="32" t="str">
        <x:v>Formazione e servizi societari ricorrenti</x:v>
      </x:c>
      <x:c r="I40" s="32" t="str">
        <x:v>Operatore formation, non marketplace sedi dimostrato</x:v>
      </x:c>
      <x:c r="J40" s="32" t="str">
        <x:v>non trovato</x:v>
      </x:c>
      <x:c r="K40" s="32" t="str">
        <x:v>D: registered office</x:v>
      </x:c>
      <x:c r="L40" s="32" t="str">
        <x:v>D: pacchetto distinto</x:v>
      </x:c>
      <x:c r="M40" s="32" t="str">
        <x:v>D: tipologia limitata dal piano</x:v>
      </x:c>
      <x:c r="N40" s="32" t="str">
        <x:v>non trovato</x:v>
      </x:c>
      <x:c r="O40" s="32" t="str">
        <x:v>non trovato</x:v>
      </x:c>
      <x:c r="P40" s="32" t="str">
        <x:v>non trovato</x:v>
      </x:c>
      <x:c r="Q40" s="32" t="str">
        <x:v>non trovato</x:v>
      </x:c>
      <x:c r="R40" s="32" t="str">
        <x:v>non trovato</x:v>
      </x:c>
      <x:c r="S40" s="32" t="str">
        <x:v>D: sì</x:v>
      </x:c>
      <x:c r="T40" s="32" t="str">
        <x:v>D: piani dedicati</x:v>
      </x:c>
      <x:c r="U40" s="32" t="str">
        <x:v>non trovato</x:v>
      </x:c>
      <x:c r="V40" s="32" t="str">
        <x:v>non trovato</x:v>
      </x:c>
      <x:c r="W40" s="32" t="str">
        <x:v>D: sì</x:v>
      </x:c>
      <x:c r="X40" s="32" t="str">
        <x:v>non trovato</x:v>
      </x:c>
      <x:c r="Y40" s="32" t="str">
        <x:v>D: sì</x:v>
      </x:c>
      <x:c r="Z40" s="32" t="str">
        <x:v>non trovato</x:v>
      </x:c>
      <x:c r="AA40" s="32" t="str">
        <x:v>non trovato</x:v>
      </x:c>
      <x:c r="AB40" s="32" t="str">
        <x:v>non trovato</x:v>
      </x:c>
      <x:c r="AC40" s="32" t="str">
        <x:v>non trovato</x:v>
      </x:c>
      <x:c r="AD40" s="32" t="str">
        <x:v>D: registered office £39/anno; business £96/anno; formazione da£102,99</x:v>
      </x:c>
      <x:c r="AE40" s="32" t="str">
        <x:v>non trovato</x:v>
      </x:c>
      <x:c r="AF40" s="32" t="str">
        <x:v>D: SEO formation e cross-sell</x:v>
      </x:c>
      <x:c r="AG40" s="32" t="str">
        <x:v>SEO alta intenzione; SEM non trovato</x:v>
      </x:c>
      <x:c r="AH40" s="32" t="str">
        <x:v>non trovato</x:v>
      </x:c>
      <x:c r="AI40" s="32" t="str">
        <x:v>non trovato</x:v>
      </x:c>
      <x:c r="AJ40" s="32" t="str">
        <x:v>non trovato</x:v>
      </x:c>
      <x:c r="AK40" s="32" t="str">
        <x:v>NF: bilancio attribuibile non acquisito nelle fonti consultate; nessuna stima di fatturato da traffico/clienti.</x:v>
      </x:c>
      <x:c r="AL40" s="32" t="str">
        <x:v>NF: nessun numero di visite attendibile acquisito; non equivale a zero.</x:v>
      </x:c>
      <x:c r="AM40" s="32" t="str">
        <x:v>fo, fa</x:v>
      </x:c>
    </x:row>
    <x:row r="41" ht="74" customHeight="1">
      <x:c r="A41" s="31" t="str">
        <x:v>Anytime Mailbox</x:v>
      </x:c>
      <x:c r="B41" s="31" t="str">
        <x:v>https://www.anytimemailbox.com/mail-center</x:v>
      </x:c>
      <x:c r="C41" s="31" t="str">
        <x:v>A/G extra UE</x:v>
      </x:c>
      <x:c r="D41" s="31" t="str">
        <x:v>USA</x:v>
      </x:c>
      <x:c r="E41" s="31" t="str">
        <x:v>USA e rete internazionale</x:v>
      </x:c>
      <x:c r="F41" s="31" t="str">
        <x:v>non trovato</x:v>
      </x:c>
      <x:c r="G41" s="31" t="str">
        <x:v>2013 · avvio tecnologia dichiarato</x:v>
      </x:c>
      <x:c r="H41" s="31" t="str">
        <x:v>Software + marketplace mailbox indipendenti</x:v>
      </x:c>
      <x:c r="I41" s="31" t="str">
        <x:v>Marketplace e SaaS white label</x:v>
      </x:c>
      <x:c r="J41" s="31" t="str">
        <x:v>D: mail center, coworking, operatori spazi</x:v>
      </x:c>
      <x:c r="K41" s="31" t="str">
        <x:v>non trovato</x:v>
      </x:c>
      <x:c r="L41" s="31" t="str">
        <x:v>D: mailbox fisica; idoneità legale locale da verificare</x:v>
      </x:c>
      <x:c r="M41" s="31" t="str">
        <x:v>D: sì</x:v>
      </x:c>
      <x:c r="N41" s="31" t="str">
        <x:v>D: sì</x:v>
      </x:c>
      <x:c r="O41" s="31" t="str">
        <x:v>D: sì</x:v>
      </x:c>
      <x:c r="P41" s="31" t="str">
        <x:v>non trovato</x:v>
      </x:c>
      <x:c r="Q41" s="31" t="str">
        <x:v>non trovato</x:v>
      </x:c>
      <x:c r="R41" s="31" t="str">
        <x:v>non trovato</x:v>
      </x:c>
      <x:c r="S41" s="31" t="str">
        <x:v>non trovato</x:v>
      </x:c>
      <x:c r="T41" s="31" t="str">
        <x:v>non trovato</x:v>
      </x:c>
      <x:c r="U41" s="31" t="str">
        <x:v>non trovato</x:v>
      </x:c>
      <x:c r="V41" s="31" t="str">
        <x:v>non trovato</x:v>
      </x:c>
      <x:c r="W41" s="31" t="str">
        <x:v>D: sì</x:v>
      </x:c>
      <x:c r="X41" s="31" t="str">
        <x:v>non trovato</x:v>
      </x:c>
      <x:c r="Y41" s="31" t="str">
        <x:v>D: billing integrato</x:v>
      </x:c>
      <x:c r="Z41" s="31" t="str">
        <x:v>D: sì</x:v>
      </x:c>
      <x:c r="AA41" s="31" t="str">
        <x:v>D: sì</x:v>
      </x:c>
      <x:c r="AB41" s="31" t="str">
        <x:v>non trovato</x:v>
      </x:c>
      <x:c r="AC41" s="31" t="str">
        <x:v>D: sì</x:v>
      </x:c>
      <x:c r="AD41" s="31" t="str">
        <x:v>D: per location</x:v>
      </x:c>
      <x:c r="AE41" s="31" t="str">
        <x:v>D: provider fissa tariffe; nessun minimo mensile/signup dichiarato; fee unitarie non trovate</x:v>
      </x:c>
      <x:c r="AF41" s="31" t="str">
        <x:v>D: marketplace e siti white label partner</x:v>
      </x:c>
      <x:c r="AG41" s="31" t="str">
        <x:v>SEO location; SEM non trovato</x:v>
      </x:c>
      <x:c r="AH41" s="31" t="str">
        <x:v>non trovato</x:v>
      </x:c>
      <x:c r="AI41" s="31" t="str">
        <x:v>D: caso singolo coworking 40 clienti / $1.100 mese, non media rete</x:v>
      </x:c>
      <x:c r="AJ41" s="31" t="str">
        <x:v>non trovato</x:v>
      </x:c>
      <x:c r="AK41" s="31" t="str">
        <x:v>NF: bilancio attribuibile non acquisito nelle fonti consultate; nessuna stima di fatturato da traffico/clienti.</x:v>
      </x:c>
      <x:c r="AL41" s="31" t="str">
        <x:v>NF: nessun numero di visite attendibile acquisito; non equivale a zero.</x:v>
      </x:c>
      <x:c r="AM41" s="31" t="str">
        <x:v>ai, ac, bp_anytime</x:v>
      </x:c>
    </x:row>
    <x:row r="42" ht="74" customHeight="1">
      <x:c r="A42" s="32" t="str">
        <x:v>iPostal1</x:v>
      </x:c>
      <x:c r="B42" s="32" t="str">
        <x:v>https://ipostal1.com/location</x:v>
      </x:c>
      <x:c r="C42" s="32" t="str">
        <x:v>A/G extra UE</x:v>
      </x:c>
      <x:c r="D42" s="32" t="str">
        <x:v>USA</x:v>
      </x:c>
      <x:c r="E42" s="32" t="str">
        <x:v>USA e internazionale</x:v>
      </x:c>
      <x:c r="F42" s="32" t="str">
        <x:v>non trovato</x:v>
      </x:c>
      <x:c r="G42" s="32" t="str">
        <x:v>2015 · lancio brand; tecnologia precedente dal 2007</x:v>
      </x:c>
      <x:c r="H42" s="32" t="str">
        <x:v>Piattaforma mailbox e rete mail center</x:v>
      </x:c>
      <x:c r="I42" s="32" t="str">
        <x:v>Marketplace/SaaS; fulfillment locale</x:v>
      </x:c>
      <x:c r="J42" s="32" t="str">
        <x:v>D: pack&amp;ship, coworking, altri spazi attrezzati</x:v>
      </x:c>
      <x:c r="K42" s="32" t="str">
        <x:v>non trovato</x:v>
      </x:c>
      <x:c r="L42" s="32" t="str">
        <x:v>D: indirizzo reale; non equivale ovunque a registered agent</x:v>
      </x:c>
      <x:c r="M42" s="32" t="str">
        <x:v>D: sì</x:v>
      </x:c>
      <x:c r="N42" s="32" t="str">
        <x:v>D: a consumo</x:v>
      </x:c>
      <x:c r="O42" s="32" t="str">
        <x:v>D: a consumo</x:v>
      </x:c>
      <x:c r="P42" s="32" t="str">
        <x:v>non trovato</x:v>
      </x:c>
      <x:c r="Q42" s="32" t="str">
        <x:v>non trovato</x:v>
      </x:c>
      <x:c r="R42" s="32" t="str">
        <x:v>non trovato</x:v>
      </x:c>
      <x:c r="S42" s="32" t="str">
        <x:v>non trovato</x:v>
      </x:c>
      <x:c r="T42" s="32" t="str">
        <x:v>non trovato</x:v>
      </x:c>
      <x:c r="U42" s="32" t="str">
        <x:v>F: attivazione USA con USPS1583 e documenti</x:v>
      </x:c>
      <x:c r="V42" s="32" t="str">
        <x:v>non trovato</x:v>
      </x:c>
      <x:c r="W42" s="32" t="str">
        <x:v>D: sì</x:v>
      </x:c>
      <x:c r="X42" s="32" t="str">
        <x:v>non trovato</x:v>
      </x:c>
      <x:c r="Y42" s="32" t="str">
        <x:v>D: sì</x:v>
      </x:c>
      <x:c r="Z42" s="32" t="str">
        <x:v>D: più indirizzi in un account</x:v>
      </x:c>
      <x:c r="AA42" s="32" t="str">
        <x:v>D: sì</x:v>
      </x:c>
      <x:c r="AB42" s="32" t="str">
        <x:v>non trovato</x:v>
      </x:c>
      <x:c r="AC42" s="32" t="str">
        <x:v>non trovato</x:v>
      </x:c>
      <x:c r="AD42" s="32" t="str">
        <x:v>D: mailbox da $9,99/mese</x:v>
      </x:c>
      <x:c r="AE42" s="32" t="str">
        <x:v>non trovato</x:v>
      </x:c>
      <x:c r="AF42" s="32" t="str">
        <x:v>D: marketplace e provider locali</x:v>
      </x:c>
      <x:c r="AG42" s="32" t="str">
        <x:v>SEO location; SEM non trovato</x:v>
      </x:c>
      <x:c r="AH42" s="32" t="str">
        <x:v>non trovato</x:v>
      </x:c>
      <x:c r="AI42" s="32" t="str">
        <x:v>D: 4.250+ indirizzi, non tutti legal office</x:v>
      </x:c>
      <x:c r="AJ42" s="32" t="str">
        <x:v>non trovato</x:v>
      </x:c>
      <x:c r="AK42" s="32" t="str">
        <x:v>NF: bilancio attribuibile non acquisito nelle fonti consultate; nessuna stima di fatturato da traffico/clienti.</x:v>
      </x:c>
      <x:c r="AL42" s="32" t="str">
        <x:v>NF: nessun numero di visite attendibile acquisito; non equivale a zero.</x:v>
      </x:c>
      <x:c r="AM42" s="32" t="str">
        <x:v>ip, is, im, it, bp_ipostal</x:v>
      </x:c>
    </x:row>
    <x:row r="43" ht="74" customHeight="1">
      <x:c r="A43" s="31" t="str">
        <x:v>Davinci Virtual</x:v>
      </x:c>
      <x:c r="B43" s="31" t="str">
        <x:v>https://www.davincivirtual.com/davinci-preferred-partner-network</x:v>
      </x:c>
      <x:c r="C43" s="31" t="str">
        <x:v>A extra UE</x:v>
      </x:c>
      <x:c r="D43" s="31" t="str">
        <x:v>USA</x:v>
      </x:c>
      <x:c r="E43" s="31" t="str">
        <x:v>USA e internazionale, Italia verificata</x:v>
      </x:c>
      <x:c r="F43" s="31" t="str">
        <x:v>D: Milano e rete globale</x:v>
      </x:c>
      <x:c r="G43" s="31" t="str">
        <x:v>2006 · fondazione dichiarata</x:v>
      </x:c>
      <x:c r="H43" s="31" t="str">
        <x:v>Distribuzione VO e sale di business center</x:v>
      </x:c>
      <x:c r="I43" s="31" t="str">
        <x:v>Rete indipendenti</x:v>
      </x:c>
      <x:c r="J43" s="31" t="str">
        <x:v>D: business center e coworking</x:v>
      </x:c>
      <x:c r="K43" s="31" t="str">
        <x:v>non trovato</x:v>
      </x:c>
      <x:c r="L43" s="31" t="str">
        <x:v>D: sì</x:v>
      </x:c>
      <x:c r="M43" s="31" t="str">
        <x:v>D: secondo centro</x:v>
      </x:c>
      <x:c r="N43" s="31" t="str">
        <x:v>non trovato</x:v>
      </x:c>
      <x:c r="O43" s="31" t="str">
        <x:v>D: opzione</x:v>
      </x:c>
      <x:c r="P43" s="31" t="str">
        <x:v>D: extra</x:v>
      </x:c>
      <x:c r="Q43" s="31" t="str">
        <x:v>D: extra</x:v>
      </x:c>
      <x:c r="R43" s="31" t="str">
        <x:v>D: secondo centro</x:v>
      </x:c>
      <x:c r="S43" s="31" t="str">
        <x:v>non trovato</x:v>
      </x:c>
      <x:c r="T43" s="31" t="str">
        <x:v>non trovato</x:v>
      </x:c>
      <x:c r="U43" s="31" t="str">
        <x:v>non trovato</x:v>
      </x:c>
      <x:c r="V43" s="31" t="str">
        <x:v>non trovato</x:v>
      </x:c>
      <x:c r="W43" s="31" t="str">
        <x:v>D: sì</x:v>
      </x:c>
      <x:c r="X43" s="31" t="str">
        <x:v>non trovato</x:v>
      </x:c>
      <x:c r="Y43" s="31" t="str">
        <x:v>non trovato</x:v>
      </x:c>
      <x:c r="Z43" s="31" t="str">
        <x:v>non trovato</x:v>
      </x:c>
      <x:c r="AA43" s="31" t="str">
        <x:v>non trovato</x:v>
      </x:c>
      <x:c r="AB43" s="31" t="str">
        <x:v>non trovato</x:v>
      </x:c>
      <x:c r="AC43" s="31" t="str">
        <x:v>non trovato</x:v>
      </x:c>
      <x:c r="AD43" s="31" t="str">
        <x:v>D: da $49/mese, sede/setup variabili</x:v>
      </x:c>
      <x:c r="AE43" s="31" t="str">
        <x:v>non trovato</x:v>
      </x:c>
      <x:c r="AF43" s="31" t="str">
        <x:v>D: rete partner e SEO città</x:v>
      </x:c>
      <x:c r="AG43" s="31" t="str">
        <x:v>SEO internazionale; SEM non trovato</x:v>
      </x:c>
      <x:c r="AH43" s="31" t="str">
        <x:v>non trovato</x:v>
      </x:c>
      <x:c r="AI43" s="31" t="str">
        <x:v>D: 5.500 business center/coworking per rete complessiva, non solo VO</x:v>
      </x:c>
      <x:c r="AJ43" s="31" t="str">
        <x:v>non trovato</x:v>
      </x:c>
      <x:c r="AK43" s="31" t="str">
        <x:v>NF: bilancio attribuibile non acquisito nelle fonti consultate; nessuna stima di fatturato da traffico/clienti.</x:v>
      </x:c>
      <x:c r="AL43" s="31" t="str">
        <x:v>NF: nessun numero di visite attendibile acquisito; non equivale a zero.</x:v>
      </x:c>
      <x:c r="AM43" s="31" t="str">
        <x:v>dv, dp, di, bp_davinci</x:v>
      </x:c>
    </x:row>
    <x:row r="44" ht="74" customHeight="1">
      <x:c r="A44" s="32" t="str">
        <x:v>Alliance Virtual Offices</x:v>
      </x:c>
      <x:c r="B44" s="32" t="str">
        <x:v>https://centers.alliancevirtualoffices.com/</x:v>
      </x:c>
      <x:c r="C44" s="32" t="str">
        <x:v>A extra UE</x:v>
      </x:c>
      <x:c r="D44" s="32" t="str">
        <x:v>USA</x:v>
      </x:c>
      <x:c r="E44" s="32" t="str">
        <x:v>USA e internazionale</x:v>
      </x:c>
      <x:c r="F44" s="32" t="str">
        <x:v>non trovato</x:v>
      </x:c>
      <x:c r="G44" s="32" t="str">
        <x:v>2010 · fondazione dichiarata</x:v>
      </x:c>
      <x:c r="H44" s="32" t="str">
        <x:v>Rete operatori locali + distribuzione</x:v>
      </x:c>
      <x:c r="I44" s="32" t="str">
        <x:v>Network indipendenti</x:v>
      </x:c>
      <x:c r="J44" s="32" t="str">
        <x:v>D: business center</x:v>
      </x:c>
      <x:c r="K44" s="32" t="str">
        <x:v>non trovato</x:v>
      </x:c>
      <x:c r="L44" s="32" t="str">
        <x:v>D: sì</x:v>
      </x:c>
      <x:c r="M44" s="32" t="str">
        <x:v>D: sì</x:v>
      </x:c>
      <x:c r="N44" s="32" t="str">
        <x:v>non trovato</x:v>
      </x:c>
      <x:c r="O44" s="32" t="str">
        <x:v>non trovato</x:v>
      </x:c>
      <x:c r="P44" s="32" t="str">
        <x:v>D: sì</x:v>
      </x:c>
      <x:c r="Q44" s="32" t="str">
        <x:v>D: sì</x:v>
      </x:c>
      <x:c r="R44" s="32" t="str">
        <x:v>non trovato</x:v>
      </x:c>
      <x:c r="S44" s="32" t="str">
        <x:v>non trovato</x:v>
      </x:c>
      <x:c r="T44" s="32" t="str">
        <x:v>non trovato</x:v>
      </x:c>
      <x:c r="U44" s="32" t="str">
        <x:v>non trovato</x:v>
      </x:c>
      <x:c r="V44" s="32" t="str">
        <x:v>non trovato</x:v>
      </x:c>
      <x:c r="W44" s="32" t="str">
        <x:v>D: percorso dedicato</x:v>
      </x:c>
      <x:c r="X44" s="32" t="str">
        <x:v>non trovato</x:v>
      </x:c>
      <x:c r="Y44" s="32" t="str">
        <x:v>non trovato</x:v>
      </x:c>
      <x:c r="Z44" s="32" t="str">
        <x:v>non trovato</x:v>
      </x:c>
      <x:c r="AA44" s="32" t="str">
        <x:v>D: strumenti operatore</x:v>
      </x:c>
      <x:c r="AB44" s="32" t="str">
        <x:v>non trovato</x:v>
      </x:c>
      <x:c r="AC44" s="32" t="str">
        <x:v>non trovato</x:v>
      </x:c>
      <x:c r="AD44" s="32" t="str">
        <x:v>non trovato</x:v>
      </x:c>
      <x:c r="AE44" s="32" t="str">
        <x:v>non trovato: accordo commerciale necessario</x:v>
      </x:c>
      <x:c r="AF44" s="32" t="str">
        <x:v>D: provider e affiliate distinti</x:v>
      </x:c>
      <x:c r="AG44" s="32" t="str">
        <x:v>SEO location; SEM non trovato</x:v>
      </x:c>
      <x:c r="AH44" s="32" t="str">
        <x:v>non trovato</x:v>
      </x:c>
      <x:c r="AI44" s="32" t="str">
        <x:v>non trovato</x:v>
      </x:c>
      <x:c r="AJ44" s="32" t="str">
        <x:v>non trovato</x:v>
      </x:c>
      <x:c r="AK44" s="32" t="str">
        <x:v>NF: bilancio attribuibile non acquisito nelle fonti consultate; nessuna stima di fatturato da traffico/clienti.</x:v>
      </x:c>
      <x:c r="AL44" s="32" t="str">
        <x:v>NF: nessun numero di visite attendibile acquisito; non equivale a zero.</x:v>
      </x:c>
      <x:c r="AM44" s="32" t="str">
        <x:v>av, ag, bp_alliance</x:v>
      </x:c>
    </x:row>
    <x:row r="45" ht="74" customHeight="1">
      <x:c r="A45" s="31" t="str">
        <x:v>Coworker</x:v>
      </x:c>
      <x:c r="B45" s="31" t="str">
        <x:v>https://www.coworker.com/virtual-offices</x:v>
      </x:c>
      <x:c r="C45" s="31" t="str">
        <x:v>F/A</x:v>
      </x:c>
      <x:c r="D45" s="31" t="str">
        <x:v>Origine societaria non trovata</x:v>
      </x:c>
      <x:c r="E45" s="31" t="str">
        <x:v>Globale, Italia inclusa</x:v>
      </x:c>
      <x:c r="F45" s="31" t="str">
        <x:v>non trovato</x:v>
      </x:c>
      <x:c r="G45" s="31" t="str">
        <x:v>2015 · fondazione dichiarata</x:v>
      </x:c>
      <x:c r="H45" s="31" t="str">
        <x:v>Discovery e prenotazione workspace/VO</x:v>
      </x:c>
      <x:c r="I45" s="31" t="str">
        <x:v>Marketplace</x:v>
      </x:c>
      <x:c r="J45" s="31" t="str">
        <x:v>D: coworking/spazi</x:v>
      </x:c>
      <x:c r="K45" s="31" t="str">
        <x:v>non trovato</x:v>
      </x:c>
      <x:c r="L45" s="31" t="str">
        <x:v>D: categoria virtual office già presente</x:v>
      </x:c>
      <x:c r="M45" s="31" t="str">
        <x:v>non trovato</x:v>
      </x:c>
      <x:c r="N45" s="31" t="str">
        <x:v>non trovato</x:v>
      </x:c>
      <x:c r="O45" s="31" t="str">
        <x:v>non trovato</x:v>
      </x:c>
      <x:c r="P45" s="31" t="str">
        <x:v>D: sì</x:v>
      </x:c>
      <x:c r="Q45" s="31" t="str">
        <x:v>D: sì</x:v>
      </x:c>
      <x:c r="R45" s="31" t="str">
        <x:v>D: sì</x:v>
      </x:c>
      <x:c r="S45" s="31" t="str">
        <x:v>non trovato</x:v>
      </x:c>
      <x:c r="T45" s="31" t="str">
        <x:v>non trovato</x:v>
      </x:c>
      <x:c r="U45" s="31" t="str">
        <x:v>non trovato</x:v>
      </x:c>
      <x:c r="V45" s="31" t="str">
        <x:v>non trovato</x:v>
      </x:c>
      <x:c r="W45" s="31" t="str">
        <x:v>non trovato</x:v>
      </x:c>
      <x:c r="X45" s="31" t="str">
        <x:v>non trovato</x:v>
      </x:c>
      <x:c r="Y45" s="31" t="str">
        <x:v>non trovato</x:v>
      </x:c>
      <x:c r="Z45" s="31" t="str">
        <x:v>non trovato</x:v>
      </x:c>
      <x:c r="AA45" s="31" t="str">
        <x:v>non trovato</x:v>
      </x:c>
      <x:c r="AB45" s="31" t="str">
        <x:v>D: discovery/dati, non mailbox API verificata</x:v>
      </x:c>
      <x:c r="AC45" s="31" t="str">
        <x:v>non trovato</x:v>
      </x:c>
      <x:c r="AD45" s="31" t="str">
        <x:v>non trovato</x:v>
      </x:c>
      <x:c r="AE45" s="31" t="str">
        <x:v>non trovato</x:v>
      </x:c>
      <x:c r="AF45" s="31" t="str">
        <x:v>D: SEO globale e enterprise</x:v>
      </x:c>
      <x:c r="AG45" s="31" t="str">
        <x:v>SEO città/workspace; SEM non trovato</x:v>
      </x:c>
      <x:c r="AH45" s="31" t="str">
        <x:v>non trovato</x:v>
      </x:c>
      <x:c r="AI45" s="31" t="str">
        <x:v>non trovato</x:v>
      </x:c>
      <x:c r="AJ45" s="31" t="str">
        <x:v>non trovato</x:v>
      </x:c>
      <x:c r="AK45" s="31" t="str">
        <x:v>NF: bilancio attribuibile non acquisito nelle fonti consultate; nessuna stima di fatturato da traffico/clienti.</x:v>
      </x:c>
      <x:c r="AL45" s="31" t="str">
        <x:v>NF: nessun numero di visite attendibile acquisito; non equivale a zero.</x:v>
      </x:c>
      <x:c r="AM45" s="31" t="str">
        <x:v>cr, cy, bp_cowfound</x:v>
      </x:c>
    </x:row>
    <x:row r="46" ht="74" customHeight="1">
      <x:c r="A46" s="32" t="str">
        <x:v>Instant Offices</x:v>
      </x:c>
      <x:c r="B46" s="32" t="str">
        <x:v>https://www.instantoffices.com/en/list-with-us</x:v>
      </x:c>
      <x:c r="C46" s="32" t="str">
        <x:v>F/A</x:v>
      </x:c>
      <x:c r="D46" s="32" t="str">
        <x:v>Regno Unito</x:v>
      </x:c>
      <x:c r="E46" s="32" t="str">
        <x:v>Globale, Italia inclusa</x:v>
      </x:c>
      <x:c r="F46" s="32" t="str">
        <x:v>non trovato</x:v>
      </x:c>
      <x:c r="G46" s="32" t="str">
        <x:v>1999 · fondazione dichiarata Instant Group</x:v>
      </x:c>
      <x:c r="H46" s="32" t="str">
        <x:v>Brokerage e lead per spazi flessibili</x:v>
      </x:c>
      <x:c r="I46" s="32" t="str">
        <x:v>Marketplace/broker</x:v>
      </x:c>
      <x:c r="J46" s="32" t="str">
        <x:v>D: operatori workspace</x:v>
      </x:c>
      <x:c r="K46" s="32" t="str">
        <x:v>non trovato</x:v>
      </x:c>
      <x:c r="L46" s="32" t="str">
        <x:v>D: categoria VO</x:v>
      </x:c>
      <x:c r="M46" s="32" t="str">
        <x:v>non trovato</x:v>
      </x:c>
      <x:c r="N46" s="32" t="str">
        <x:v>non trovato</x:v>
      </x:c>
      <x:c r="O46" s="32" t="str">
        <x:v>non trovato</x:v>
      </x:c>
      <x:c r="P46" s="32" t="str">
        <x:v>D: sì</x:v>
      </x:c>
      <x:c r="Q46" s="32" t="str">
        <x:v>D: sì</x:v>
      </x:c>
      <x:c r="R46" s="32" t="str">
        <x:v>D: sì</x:v>
      </x:c>
      <x:c r="S46" s="32" t="str">
        <x:v>non trovato</x:v>
      </x:c>
      <x:c r="T46" s="32" t="str">
        <x:v>non trovato</x:v>
      </x:c>
      <x:c r="U46" s="32" t="str">
        <x:v>non trovato</x:v>
      </x:c>
      <x:c r="V46" s="32" t="str">
        <x:v>non trovato</x:v>
      </x:c>
      <x:c r="W46" s="32" t="str">
        <x:v>non trovato</x:v>
      </x:c>
      <x:c r="X46" s="32" t="str">
        <x:v>non trovato</x:v>
      </x:c>
      <x:c r="Y46" s="32" t="str">
        <x:v>non trovato</x:v>
      </x:c>
      <x:c r="Z46" s="32" t="str">
        <x:v>non trovato</x:v>
      </x:c>
      <x:c r="AA46" s="32" t="str">
        <x:v>D: canale operatori Worka</x:v>
      </x:c>
      <x:c r="AB46" s="32" t="str">
        <x:v>non trovato</x:v>
      </x:c>
      <x:c r="AC46" s="32" t="str">
        <x:v>non trovato</x:v>
      </x:c>
      <x:c r="AD46" s="32" t="str">
        <x:v>non trovato</x:v>
      </x:c>
      <x:c r="AE46" s="32" t="str">
        <x:v>non trovato</x:v>
      </x:c>
      <x:c r="AF46" s="32" t="str">
        <x:v>D: SEO e richieste commerciali</x:v>
      </x:c>
      <x:c r="AG46" s="32" t="str">
        <x:v>SEO globale; SEM non trovato</x:v>
      </x:c>
      <x:c r="AH46" s="32" t="str">
        <x:v>non trovato</x:v>
      </x:c>
      <x:c r="AI46" s="32" t="str">
        <x:v>D: 8.000 richieste/mese dichiarate, non clienti VO</x:v>
      </x:c>
      <x:c r="AJ46" s="32" t="str">
        <x:v>non trovato</x:v>
      </x:c>
      <x:c r="AK46" s="32" t="str">
        <x:v>NF: bilancio attribuibile non acquisito nelle fonti consultate; nessuna stima di fatturato da traffico/clienti.</x:v>
      </x:c>
      <x:c r="AL46" s="32" t="str">
        <x:v>NF: nessun numero di visite attendibile acquisito; non equivale a zero.</x:v>
      </x:c>
      <x:c r="AM46" s="32" t="str">
        <x:v>il, iv, bp_instantfound</x:v>
      </x:c>
    </x:row>
    <x:row r="47" ht="74" customHeight="1">
      <x:c r="A47" s="31" t="str">
        <x:v>Poste · Spazi per l’Italia</x:v>
      </x:c>
      <x:c r="B47" s="31" t="str">
        <x:v>https://www.spaziperlitalia.poste.it/wp-content/uploads/sites/9/2024/09/Spazi-perlItalia_Regolamento-Interno-Generale.pdf</x:v>
      </x:c>
      <x:c r="C47" s="31" t="str">
        <x:v>G/B</x:v>
      </x:c>
      <x:c r="D47" s="31" t="str">
        <x:v>Italia</x:v>
      </x:c>
      <x:c r="E47" s="31" t="str">
        <x:v>Italia</x:v>
      </x:c>
      <x:c r="F47" s="31" t="str">
        <x:v>non trovato</x:v>
      </x:c>
      <x:c r="G47" s="31" t="str">
        <x:v>non trovato</x:v>
      </x:c>
      <x:c r="H47" s="31" t="str">
        <x:v>Rete coworking con servizi di sede selettivi</x:v>
      </x:c>
      <x:c r="I47" s="31" t="str">
        <x:v>Rete branded</x:v>
      </x:c>
      <x:c r="J47" s="31" t="str">
        <x:v>non trovato</x:v>
      </x:c>
      <x:c r="K47" s="31" t="str">
        <x:v>F: domiciliazione su richiesta, solo sedi abilitate, minimo12mesi</x:v>
      </x:c>
      <x:c r="L47" s="31" t="str">
        <x:v>non trovato</x:v>
      </x:c>
      <x:c r="M47" s="31" t="str">
        <x:v>non trovato</x:v>
      </x:c>
      <x:c r="N47" s="31" t="str">
        <x:v>non trovato</x:v>
      </x:c>
      <x:c r="O47" s="31" t="str">
        <x:v>non trovato</x:v>
      </x:c>
      <x:c r="P47" s="31" t="str">
        <x:v>D: sì</x:v>
      </x:c>
      <x:c r="Q47" s="31" t="str">
        <x:v>D: sì</x:v>
      </x:c>
      <x:c r="R47" s="31" t="str">
        <x:v>D: sì</x:v>
      </x:c>
      <x:c r="S47" s="31" t="str">
        <x:v>non trovato</x:v>
      </x:c>
      <x:c r="T47" s="31" t="str">
        <x:v>non trovato</x:v>
      </x:c>
      <x:c r="U47" s="31" t="str">
        <x:v>non trovato</x:v>
      </x:c>
      <x:c r="V47" s="31" t="str">
        <x:v>non trovato</x:v>
      </x:c>
      <x:c r="W47" s="31" t="str">
        <x:v>non trovato</x:v>
      </x:c>
      <x:c r="X47" s="31" t="str">
        <x:v>non trovato</x:v>
      </x:c>
      <x:c r="Y47" s="31" t="str">
        <x:v>non trovato</x:v>
      </x:c>
      <x:c r="Z47" s="31" t="str">
        <x:v>non trovato</x:v>
      </x:c>
      <x:c r="AA47" s="31" t="str">
        <x:v>non trovato</x:v>
      </x:c>
      <x:c r="AB47" s="31" t="str">
        <x:v>non trovato</x:v>
      </x:c>
      <x:c r="AC47" s="31" t="str">
        <x:v>non trovato</x:v>
      </x:c>
      <x:c r="AD47" s="31" t="str">
        <x:v>non trovato</x:v>
      </x:c>
      <x:c r="AE47" s="31" t="str">
        <x:v>non trovato</x:v>
      </x:c>
      <x:c r="AF47" s="31" t="str">
        <x:v>I: rete e brand Poste</x:v>
      </x:c>
      <x:c r="AG47" s="31" t="str">
        <x:v>non trovato</x:v>
      </x:c>
      <x:c r="AH47" s="31" t="str">
        <x:v>non trovato</x:v>
      </x:c>
      <x:c r="AI47" s="31" t="str">
        <x:v>non trovato</x:v>
      </x:c>
      <x:c r="AJ47" s="31" t="str">
        <x:v>non trovato</x:v>
      </x:c>
      <x:c r="AK47" s="31" t="str">
        <x:v>NF: bilancio attribuibile non acquisito nelle fonti consultate; nessuna stima di fatturato da traffico/clienti.</x:v>
      </x:c>
      <x:c r="AL47" s="31" t="str">
        <x:v>NF: nessun numero di visite attendibile acquisito; non equivale a zero.</x:v>
      </x:c>
      <x:c r="AM47" s="31" t="str">
        <x:v>ps</x:v>
      </x:c>
    </x:row>
    <x:row r="48" ht="74" customHeight="1">
      <x:c r="A48" s="32" t="str">
        <x:v>VALO Hotel &amp; Work</x:v>
      </x:c>
      <x:c r="B48" s="32" t="str">
        <x:v>https://valo.fi/en/valo-room-type/virtual-office/</x:v>
      </x:c>
      <x:c r="C48" s="32" t="str">
        <x:v>C hotel</x:v>
      </x:c>
      <x:c r="D48" s="32" t="str">
        <x:v>Finlandia</x:v>
      </x:c>
      <x:c r="E48" s="32" t="str">
        <x:v>Finlandia</x:v>
      </x:c>
      <x:c r="F48" s="32" t="str">
        <x:v>Helsinki, Mannerheimintie</x:v>
      </x:c>
      <x:c r="G48" s="32" t="str">
        <x:v>Autunno2020 · apertura struttura, non costituzione società</x:v>
      </x:c>
      <x:c r="H48" s="32" t="str">
        <x:v>Hotel + workspace + virtual office</x:v>
      </x:c>
      <x:c r="I48" s="32" t="str">
        <x:v>Hotel operativo</x:v>
      </x:c>
      <x:c r="J48" s="32" t="str">
        <x:v>non trovato</x:v>
      </x:c>
      <x:c r="K48" s="32" t="str">
        <x:v>non trovato</x:v>
      </x:c>
      <x:c r="L48" s="32" t="str">
        <x:v>D: postal address</x:v>
      </x:c>
      <x:c r="M48" s="32" t="str">
        <x:v>D: sì</x:v>
      </x:c>
      <x:c r="N48" s="32" t="str">
        <x:v>non trovato</x:v>
      </x:c>
      <x:c r="O48" s="32" t="str">
        <x:v>non trovato</x:v>
      </x:c>
      <x:c r="P48" s="32" t="str">
        <x:v>D: sì</x:v>
      </x:c>
      <x:c r="Q48" s="32" t="str">
        <x:v>D: sì</x:v>
      </x:c>
      <x:c r="R48" s="32" t="str">
        <x:v>D: sì</x:v>
      </x:c>
      <x:c r="S48" s="32" t="str">
        <x:v>non trovato</x:v>
      </x:c>
      <x:c r="T48" s="32" t="str">
        <x:v>non trovato</x:v>
      </x:c>
      <x:c r="U48" s="32" t="str">
        <x:v>non trovato</x:v>
      </x:c>
      <x:c r="V48" s="32" t="str">
        <x:v>non trovato</x:v>
      </x:c>
      <x:c r="W48" s="32" t="str">
        <x:v>non trovato</x:v>
      </x:c>
      <x:c r="X48" s="32" t="str">
        <x:v>non trovato</x:v>
      </x:c>
      <x:c r="Y48" s="32" t="str">
        <x:v>non trovato</x:v>
      </x:c>
      <x:c r="Z48" s="32" t="str">
        <x:v>non trovato</x:v>
      </x:c>
      <x:c r="AA48" s="32" t="str">
        <x:v>non trovato</x:v>
      </x:c>
      <x:c r="AB48" s="32" t="str">
        <x:v>non trovato</x:v>
      </x:c>
      <x:c r="AC48" s="32" t="str">
        <x:v>non trovato</x:v>
      </x:c>
      <x:c r="AD48" s="32" t="str">
        <x:v>non trovato</x:v>
      </x:c>
      <x:c r="AE48" s="32" t="str">
        <x:v>non trovato</x:v>
      </x:c>
      <x:c r="AF48" s="32" t="str">
        <x:v>D: cross-sell hotel/work</x:v>
      </x:c>
      <x:c r="AG48" s="32" t="str">
        <x:v>non trovato</x:v>
      </x:c>
      <x:c r="AH48" s="32" t="str">
        <x:v>I: idoneità come sede legale non dimostrata dalla sola offerta postale</x:v>
      </x:c>
      <x:c r="AI48" s="32" t="str">
        <x:v>non trovato</x:v>
      </x:c>
      <x:c r="AJ48" s="32" t="str">
        <x:v>non trovato</x:v>
      </x:c>
      <x:c r="AK48" s="32" t="str">
        <x:v>NF: bilancio attribuibile non acquisito nelle fonti consultate; nessuna stima di fatturato da traffico/clienti.</x:v>
      </x:c>
      <x:c r="AL48" s="32" t="str">
        <x:v>NF: nessun numero di visite attendibile acquisito; non equivale a zero.</x:v>
      </x:c>
      <x:c r="AM48" s="32" t="str">
        <x:v>vl, bp_valofound</x:v>
      </x:c>
    </x:row>
  </x:sheetData>
  <x:pageMargins left="0.7" right="0.7" top="0.75" bottom="0.75" header="0.3" footer="0.3"/>
  <x:tableParts count="1">
    <x:tablePart xmlns:r="http://schemas.openxmlformats.org/officeDocument/2006/relationships" r:id="Rc44c0f668e2d4ce6"/>
  </x:tableParts>
</x:worksheet>
</file>

<file path=xl/worksheets/sheet6.xml><?xml version="1.0" encoding="utf-8"?>
<x:worksheet xmlns:x="http://schemas.openxmlformats.org/spreadsheetml/2006/main">
  <x:sheetPr>
    <x:tabColor rgb="FF087A72"/>
  </x:sheetPr>
  <x:sheetViews>
    <x:sheetView showGridLines="0" workbookViewId="0"/>
  </x:sheetViews>
  <x:sheetFormatPr defaultRowHeight="15"/>
  <x:cols>
    <x:col min="1" max="1" width="39" hidden="0" customWidth="1"/>
    <x:col min="2" max="2" width="18" hidden="0" customWidth="1"/>
    <x:col min="3" max="3" width="44" hidden="0" customWidth="1"/>
    <x:col min="4" max="4" width="31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</x:row>
    <x:row r="2" ht="28" customHeight="1">
      <x:c r="A2" s="30" t="str">
        <x:v>Adrexa · economics mensili illustrativi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</x:row>
    <x:row r="3" ht="24" customHeight="1">
      <x:c r="A3" s="29" t="str">
        <x:v>Ipotesi modificabili in blu. Contributo prima struttura; nessuna previsione di domanda.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</x:row>
    <x:row r="4" ht="24" customHeight="1">
      <x:c r="A4" s="29"/>
      <x:c r="B4" s="29"/>
      <x:c r="C4" s="29"/>
      <x:c r="D4" s="29"/>
      <x:c r="E4" s="29"/>
      <x:c r="F4" s="29"/>
      <x:c r="G4" s="29"/>
      <x:c r="H4" s="29"/>
      <x:c r="I4" s="29"/>
      <x:c r="J4" s="29"/>
      <x:c r="K4" s="29"/>
    </x:row>
    <x:row r="5" ht="36" customHeight="1">
      <x:c r="A5" s="36" t="str">
        <x:v>Risultato per cliente attivo</x:v>
      </x:c>
      <x:c r="B5" s="36" t="str">
        <x:v>EUR</x:v>
      </x:c>
      <x:c r="C5" s="29"/>
      <x:c r="D5" s="36" t="str">
        <x:v>Clienti attivi</x:v>
      </x:c>
      <x:c r="E5" s="39" t="n">
        <x:v>100</x:v>
      </x:c>
      <x:c r="F5" s="39" t="n">
        <x:v>1000</x:v>
      </x:c>
      <x:c r="G5" s="39" t="n">
        <x:v>10000</x:v>
      </x:c>
      <x:c r="H5" s="39" t="n">
        <x:v>100000</x:v>
      </x:c>
      <x:c r="I5" s="29"/>
      <x:c r="J5" s="29"/>
      <x:c r="K5" s="29"/>
    </x:row>
    <x:row r="6" ht="24" customHeight="1">
      <x:c r="A6" s="29" t="str">
        <x:v>Volume netto</x:v>
      </x:c>
      <x:c r="B6" s="42" t="n">
        <x:f>B31</x:f>
        <x:v>79</x:v>
      </x:c>
      <x:c r="C6" s="29"/>
      <x:c r="D6" s="29" t="str">
        <x:v>Volume netto</x:v>
      </x:c>
      <x:c r="E6" s="46" t="n">
        <x:f>E$5*$B$6</x:f>
        <x:v>7900</x:v>
      </x:c>
      <x:c r="F6" s="46" t="n">
        <x:f>F$5*$B$6</x:f>
        <x:v>79000</x:v>
      </x:c>
      <x:c r="G6" s="46" t="n">
        <x:f>G$5*$B$6</x:f>
        <x:v>790000</x:v>
      </x:c>
      <x:c r="H6" s="46" t="n">
        <x:f>H$5*$B$6</x:f>
        <x:v>7900000</x:v>
      </x:c>
      <x:c r="I6" s="29"/>
      <x:c r="J6" s="29"/>
      <x:c r="K6" s="29"/>
    </x:row>
    <x:row r="7" ht="24" customHeight="1">
      <x:c r="A7" s="29" t="str">
        <x:v>Quota partner</x:v>
      </x:c>
      <x:c r="B7" s="42" t="n">
        <x:f>B32</x:f>
        <x:v>50</x:v>
      </x:c>
      <x:c r="C7" s="29"/>
      <x:c r="D7" s="29" t="str">
        <x:v>Partner</x:v>
      </x:c>
      <x:c r="E7" s="46" t="n">
        <x:f>E$5*$B$7</x:f>
        <x:v>5000</x:v>
      </x:c>
      <x:c r="F7" s="46" t="n">
        <x:f>F$5*$B$7</x:f>
        <x:v>50000</x:v>
      </x:c>
      <x:c r="G7" s="46" t="n">
        <x:f>G$5*$B$7</x:f>
        <x:v>500000</x:v>
      </x:c>
      <x:c r="H7" s="46" t="n">
        <x:f>H$5*$B$7</x:f>
        <x:v>5000000</x:v>
      </x:c>
      <x:c r="I7" s="29"/>
      <x:c r="J7" s="29"/>
      <x:c r="K7" s="29"/>
    </x:row>
    <x:row r="8" ht="24" customHeight="1">
      <x:c r="A8" s="29" t="str">
        <x:v>Spread lordo</x:v>
      </x:c>
      <x:c r="B8" s="42" t="n">
        <x:f>B6-B7</x:f>
        <x:v>29</x:v>
      </x:c>
      <x:c r="C8" s="29"/>
      <x:c r="D8" s="29" t="str">
        <x:v>Spread</x:v>
      </x:c>
      <x:c r="E8" s="46" t="n">
        <x:f>E$5*$B$8</x:f>
        <x:v>2900</x:v>
      </x:c>
      <x:c r="F8" s="46" t="n">
        <x:f>F$5*$B$8</x:f>
        <x:v>29000</x:v>
      </x:c>
      <x:c r="G8" s="46" t="n">
        <x:f>G$5*$B$8</x:f>
        <x:v>290000</x:v>
      </x:c>
      <x:c r="H8" s="46" t="n">
        <x:f>H$5*$B$8</x:f>
        <x:v>2900000</x:v>
      </x:c>
      <x:c r="I8" s="29"/>
      <x:c r="J8" s="29"/>
      <x:c r="K8" s="29"/>
    </x:row>
    <x:row r="9" ht="24" customHeight="1">
      <x:c r="A9" s="29" t="str">
        <x:v>Incasso con IVA</x:v>
      </x:c>
      <x:c r="B9" s="42" t="n">
        <x:f>B31*(1+B33)</x:f>
        <x:v>96.38</x:v>
      </x:c>
      <x:c r="C9" s="29"/>
      <x:c r="D9" s="29" t="str">
        <x:v>Payment fees</x:v>
      </x:c>
      <x:c r="E9" s="46" t="n">
        <x:f>E$5*$B$10</x:f>
        <x:v>169.57</x:v>
      </x:c>
      <x:c r="F9" s="46" t="n">
        <x:f>F$5*$B$10</x:f>
        <x:v>1695.7</x:v>
      </x:c>
      <x:c r="G9" s="46" t="n">
        <x:f>G$5*$B$10</x:f>
        <x:v>16957</x:v>
      </x:c>
      <x:c r="H9" s="46" t="n">
        <x:f>H$5*$B$10</x:f>
        <x:v>169570</x:v>
      </x:c>
      <x:c r="I9" s="29"/>
      <x:c r="J9" s="29"/>
      <x:c r="K9" s="29"/>
    </x:row>
    <x:row r="10" ht="24" customHeight="1">
      <x:c r="A10" s="29" t="str">
        <x:v>Commissione pagamento</x:v>
      </x:c>
      <x:c r="B10" s="42" t="n">
        <x:f>B9*B34+B35</x:f>
        <x:v>1.6957</x:v>
      </x:c>
      <x:c r="C10" s="29"/>
      <x:c r="D10" s="29" t="str">
        <x:v>Altri variabili</x:v>
      </x:c>
      <x:c r="E10" s="46" t="n">
        <x:f>E$5*$B$11</x:f>
        <x:v>1000</x:v>
      </x:c>
      <x:c r="F10" s="46" t="n">
        <x:f>F$5*$B$11</x:f>
        <x:v>10000</x:v>
      </x:c>
      <x:c r="G10" s="46" t="n">
        <x:f>G$5*$B$11</x:f>
        <x:v>100000</x:v>
      </x:c>
      <x:c r="H10" s="46" t="n">
        <x:f>H$5*$B$11</x:f>
        <x:v>1000000</x:v>
      </x:c>
      <x:c r="I10" s="29"/>
      <x:c r="J10" s="29"/>
      <x:c r="K10" s="29"/>
    </x:row>
    <x:row r="11" ht="24" customHeight="1">
      <x:c r="A11" s="29" t="str">
        <x:v>Altri costi variabili</x:v>
      </x:c>
      <x:c r="B11" s="42" t="n">
        <x:f>SUM(B36:B43)</x:f>
        <x:v>10</x:v>
      </x:c>
      <x:c r="C11" s="29"/>
      <x:c r="D11" s="29" t="str">
        <x:v>Contributo</x:v>
      </x:c>
      <x:c r="E11" s="46" t="n">
        <x:f>E$5*$B$12</x:f>
        <x:v>1730.43</x:v>
      </x:c>
      <x:c r="F11" s="46" t="n">
        <x:f>F$5*$B$12</x:f>
        <x:v>17304.300000000003</x:v>
      </x:c>
      <x:c r="G11" s="46" t="n">
        <x:f>G$5*$B$12</x:f>
        <x:v>173043</x:v>
      </x:c>
      <x:c r="H11" s="46" t="n">
        <x:f>H$5*$B$12</x:f>
        <x:v>1730430.0000000002</x:v>
      </x:c>
      <x:c r="I11" s="29"/>
      <x:c r="J11" s="29"/>
      <x:c r="K11" s="29"/>
    </x:row>
    <x:row r="12" ht="24" customHeight="1">
      <x:c r="A12" s="51" t="str">
        <x:v>Contributo prima acquisizione</x:v>
      </x:c>
      <x:c r="B12" s="52" t="n">
        <x:f>B8-B10-B11</x:f>
        <x:v>17.3043</x:v>
      </x:c>
      <x:c r="C12" s="29"/>
      <x:c r="D12" s="29" t="str">
        <x:v>Sostituzione churn</x:v>
      </x:c>
      <x:c r="E12" s="46" t="n">
        <x:f>E$5*$B$15</x:f>
        <x:v>408</x:v>
      </x:c>
      <x:c r="F12" s="46" t="n">
        <x:f>F$5*$B$15</x:f>
        <x:v>4080</x:v>
      </x:c>
      <x:c r="G12" s="46" t="n">
        <x:f>G$5*$B$15</x:f>
        <x:v>40800</x:v>
      </x:c>
      <x:c r="H12" s="46" t="n">
        <x:f>H$5*$B$15</x:f>
        <x:v>408000</x:v>
      </x:c>
      <x:c r="I12" s="29"/>
      <x:c r="J12" s="29"/>
      <x:c r="K12" s="29"/>
    </x:row>
    <x:row r="13" ht="24" customHeight="1">
      <x:c r="A13" s="29" t="str">
        <x:v>Costo nuovo cliente</x:v>
      </x:c>
      <x:c r="B13" s="42" t="n">
        <x:f>SUM(B44:B45)</x:f>
        <x:v>204</x:v>
      </x:c>
      <x:c r="C13" s="29"/>
      <x:c r="D13" s="51" t="str">
        <x:v>Residuo prima struttura</x:v>
      </x:c>
      <x:c r="E13" s="56" t="n">
        <x:f>E$5*$B$16</x:f>
        <x:v>1322.43</x:v>
      </x:c>
      <x:c r="F13" s="56" t="n">
        <x:f>F$5*$B$16</x:f>
        <x:v>13224.300000000001</x:v>
      </x:c>
      <x:c r="G13" s="56" t="n">
        <x:f>G$5*$B$16</x:f>
        <x:v>132243</x:v>
      </x:c>
      <x:c r="H13" s="56" t="n">
        <x:f>H$5*$B$16</x:f>
        <x:v>1322430.0000000002</x:v>
      </x:c>
      <x:c r="I13" s="29"/>
      <x:c r="J13" s="29"/>
      <x:c r="K13" s="29"/>
    </x:row>
    <x:row r="14" ht="24" customHeight="1">
      <x:c r="A14" s="29" t="str">
        <x:v>Payback semplice (mesi)</x:v>
      </x:c>
      <x:c r="B14" s="42" t="n">
        <x:f>IF(B12&lt;=0,"non recuperabile",B13/B12)</x:f>
        <x:v>11.788977306218685</x:v>
      </x:c>
      <x:c r="C14" s="29"/>
      <x:c r="D14" s="29"/>
      <x:c r="E14" s="29"/>
      <x:c r="F14" s="29"/>
      <x:c r="G14" s="29"/>
      <x:c r="H14" s="29"/>
      <x:c r="I14" s="29"/>
      <x:c r="J14" s="29"/>
      <x:c r="K14" s="29"/>
    </x:row>
    <x:row r="15" ht="24" customHeight="1">
      <x:c r="A15" s="29" t="str">
        <x:v>Sostituzione churn / cliente</x:v>
      </x:c>
      <x:c r="B15" s="42" t="n">
        <x:f>B46*B13</x:f>
        <x:v>4.08</x:v>
      </x:c>
      <x:c r="C15" s="29"/>
      <x:c r="D15" s="29" t="str">
        <x:v>Base stabile: churn sostituito subito. Crescita e struttura escluse.</x:v>
      </x:c>
      <x:c r="E15" s="29"/>
      <x:c r="F15" s="29"/>
      <x:c r="G15" s="29"/>
      <x:c r="H15" s="29"/>
      <x:c r="I15" s="29"/>
      <x:c r="J15" s="29"/>
      <x:c r="K15" s="29"/>
    </x:row>
    <x:row r="16" ht="24" customHeight="1">
      <x:c r="A16" s="51" t="str">
        <x:v>Residuo prima costi centrali</x:v>
      </x:c>
      <x:c r="B16" s="52" t="n">
        <x:f>B12-B15</x:f>
        <x:v>13.224300000000001</x:v>
      </x:c>
      <x:c r="C16" s="29"/>
      <x:c r="D16" s="29" t="str">
        <x:v>10.000/100.000 clienti: scalatura aritmetica, non previsione di mercato.</x:v>
      </x:c>
      <x:c r="E16" s="29"/>
      <x:c r="F16" s="29"/>
      <x:c r="G16" s="29"/>
      <x:c r="H16" s="29"/>
      <x:c r="I16" s="29"/>
      <x:c r="J16" s="29"/>
      <x:c r="K16" s="29"/>
    </x:row>
    <x:row r="17" ht="24" customHeight="1">
      <x:c r="A17" s="51" t="str">
        <x:v>Pareggio clienti base stabile</x:v>
      </x:c>
      <x:c r="B17" s="54" t="n">
        <x:f>IF(B16&lt;=0,"non recuperabile",ROUNDUP(B47/B16,0))</x:f>
        <x:v>1135</x:v>
      </x:c>
      <x:c r="C17" s="29"/>
      <x:c r="D17" s="29"/>
      <x:c r="E17" s="29"/>
      <x:c r="F17" s="29"/>
      <x:c r="G17" s="29"/>
      <x:c r="H17" s="29"/>
      <x:c r="I17" s="29"/>
      <x:c r="J17" s="29"/>
      <x:c r="K17" s="29"/>
    </x:row>
    <x:row r="18" ht="24" customHeight="1">
      <x:c r="A18" s="29"/>
      <x:c r="B18" s="42"/>
      <x:c r="C18" s="29"/>
      <x:c r="D18" s="29"/>
      <x:c r="E18" s="29"/>
      <x:c r="F18" s="29"/>
      <x:c r="G18" s="29"/>
      <x:c r="H18" s="29"/>
      <x:c r="I18" s="29"/>
      <x:c r="J18" s="29"/>
      <x:c r="K18" s="29"/>
    </x:row>
    <x:row r="19" ht="36" customHeight="1">
      <x:c r="A19" s="36" t="str">
        <x:v>Coorte nei primi 24 mesi</x:v>
      </x:c>
      <x:c r="B19" s="43" t="str">
        <x:v>Valore</x:v>
      </x:c>
      <x:c r="C19" s="29"/>
      <x:c r="D19" s="29" t="str">
        <x:v>Il primo mese genera contributo. Nessuna LTV perpetua.</x:v>
      </x:c>
      <x:c r="E19" s="29"/>
      <x:c r="F19" s="29"/>
      <x:c r="G19" s="29"/>
      <x:c r="H19" s="29"/>
      <x:c r="I19" s="29"/>
      <x:c r="J19" s="29"/>
      <x:c r="K19" s="29"/>
    </x:row>
    <x:row r="20" ht="24" customHeight="1">
      <x:c r="A20" s="29" t="str">
        <x:v>Probabilità attivo dopo 24 mesi</x:v>
      </x:c>
      <x:c r="B20" s="45" t="n">
        <x:f>(1-B46)^24</x:f>
        <x:v>0.6157803365090783</x:v>
      </x:c>
      <x:c r="C20" s="29"/>
      <x:c r="D20" s="29" t="str">
        <x:v>IVA22% assunta per incasso italiano; nessuna IVA considerata margine.</x:v>
      </x:c>
      <x:c r="E20" s="29"/>
      <x:c r="F20" s="29"/>
      <x:c r="G20" s="29"/>
      <x:c r="H20" s="29"/>
      <x:c r="I20" s="29"/>
      <x:c r="J20" s="29"/>
      <x:c r="K20" s="29"/>
    </x:row>
    <x:row r="21" ht="24" customHeight="1">
      <x:c r="A21" s="29" t="str">
        <x:v>Contributo atteso 24 mesi</x:v>
      </x:c>
      <x:c r="B21" s="42" t="n">
        <x:f>IF(B46=0,B12*24,B12*(1-(1-B46)^24)/B46)</x:f>
        <x:v>332.43261614729784</x:v>
      </x:c>
      <x:c r="C21" s="29"/>
      <x:c r="D21" s="29" t="str">
        <x:v>Il residuo non è utile netto. Fonte tariffa pagamento: codice pay, foglio Fonti.</x:v>
      </x:c>
      <x:c r="E21" s="29"/>
      <x:c r="F21" s="29"/>
      <x:c r="G21" s="29"/>
      <x:c r="H21" s="29"/>
      <x:c r="I21" s="29"/>
      <x:c r="J21" s="29"/>
      <x:c r="K21" s="29"/>
    </x:row>
    <x:row r="22" ht="24" customHeight="1">
      <x:c r="A22" s="29" t="str">
        <x:v>Contributo meno CAC e onboarding</x:v>
      </x:c>
      <x:c r="B22" s="42" t="n">
        <x:f>B21-B13</x:f>
        <x:v>128.43261614729784</x:v>
      </x:c>
      <x:c r="C22" s="29"/>
      <x:c r="D22" s="29" t="str">
        <x:v>Esclude ulteriori costi centrali, imposte, capitale e cassa da anticipi annuali.</x:v>
      </x:c>
      <x:c r="E22" s="29"/>
      <x:c r="F22" s="29"/>
      <x:c r="G22" s="29"/>
      <x:c r="H22" s="29"/>
      <x:c r="I22" s="29"/>
      <x:c r="J22" s="29"/>
      <x:c r="K22" s="29"/>
    </x:row>
    <x:row r="23" ht="24" customHeight="1">
      <x:c r="A23" s="29" t="str">
        <x:v>Costo crescita di 100 nuovi clienti</x:v>
      </x:c>
      <x:c r="B23" s="42" t="n">
        <x:f>B13*100</x:f>
        <x:v>20400</x:v>
      </x:c>
      <x:c r="C23" s="29"/>
      <x:c r="D23" s="29"/>
      <x:c r="E23" s="29"/>
      <x:c r="F23" s="29"/>
      <x:c r="G23" s="29"/>
      <x:c r="H23" s="29"/>
      <x:c r="I23" s="29"/>
      <x:c r="J23" s="29"/>
      <x:c r="K23" s="29"/>
    </x:row>
    <x:row r="24" ht="24" customHeight="1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</x:row>
    <x:row r="25" ht="24" customHeight="1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29"/>
    </x:row>
    <x:row r="26" ht="24" customHeight="1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29"/>
    </x:row>
    <x:row r="27" ht="24" customHeight="1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  <x:c r="K27" s="29"/>
    </x:row>
    <x:row r="28" ht="24" customHeight="1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  <x:c r="K28" s="29"/>
    </x:row>
    <x:row r="29" ht="36" customHeight="1">
      <x:c r="A29" s="36" t="str">
        <x:v>Ipotesi base editabili</x:v>
      </x:c>
      <x:c r="B29" s="36" t="str">
        <x:v>Valore</x:v>
      </x:c>
      <x:c r="C29" s="36" t="str">
        <x:v>Base / unità</x:v>
      </x:c>
      <x:c r="D29" s="29"/>
      <x:c r="E29" s="29"/>
      <x:c r="F29" s="29"/>
      <x:c r="G29" s="29"/>
      <x:c r="H29" s="29"/>
      <x:c r="I29" s="29"/>
      <x:c r="J29" s="29"/>
      <x:c r="K29" s="29"/>
    </x:row>
    <x:row r="30" ht="24" customHeight="1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</x:row>
    <x:row r="31" ht="27" customHeight="1">
      <x:c r="A31" s="29" t="str">
        <x:v>Prezzo cliente netto</x:v>
      </x:c>
      <x:c r="B31" s="47" t="n">
        <x:v>79</x:v>
      </x:c>
      <x:c r="C31" s="29" t="str">
        <x:v>H · EUR/mese</x:v>
      </x:c>
      <x:c r="D31" s="29"/>
      <x:c r="E31" s="29"/>
      <x:c r="F31" s="29"/>
      <x:c r="G31" s="29"/>
      <x:c r="H31" s="29"/>
      <x:c r="I31" s="29"/>
      <x:c r="J31" s="29"/>
      <x:c r="K31" s="29"/>
    </x:row>
    <x:row r="32" ht="27" customHeight="1">
      <x:c r="A32" s="29" t="str">
        <x:v>Compenso partner netto</x:v>
      </x:c>
      <x:c r="B32" s="47" t="n">
        <x:v>50</x:v>
      </x:c>
      <x:c r="C32" s="29" t="str">
        <x:v>H · EUR/mese, da negoziare</x:v>
      </x:c>
      <x:c r="D32" s="29"/>
      <x:c r="E32" s="29"/>
      <x:c r="F32" s="29"/>
      <x:c r="G32" s="29"/>
      <x:c r="H32" s="29"/>
      <x:c r="I32" s="29"/>
      <x:c r="J32" s="29"/>
      <x:c r="K32" s="29"/>
    </x:row>
    <x:row r="33" ht="27" customHeight="1">
      <x:c r="A33" s="29" t="str">
        <x:v>IVA incasso</x:v>
      </x:c>
      <x:c r="B33" s="48" t="n">
        <x:v>0.22</x:v>
      </x:c>
      <x:c r="C33" s="29" t="str">
        <x:v>H · Italia caso domestico</x:v>
      </x:c>
      <x:c r="D33" s="29"/>
      <x:c r="E33" s="29"/>
      <x:c r="F33" s="29"/>
      <x:c r="G33" s="29"/>
      <x:c r="H33" s="29"/>
      <x:c r="I33" s="29"/>
      <x:c r="J33" s="29"/>
      <x:c r="K33" s="29"/>
    </x:row>
    <x:row r="34" ht="27" customHeight="1">
      <x:c r="A34" s="29" t="str">
        <x:v>Payment fee percentuale</x:v>
      </x:c>
      <x:c r="B34" s="48" t="n">
        <x:v>0.015</x:v>
      </x:c>
      <x:c r="C34" s="29" t="str">
        <x:v>F tariffa Stripe carte standard SEE</x:v>
      </x:c>
      <x:c r="D34" s="29"/>
      <x:c r="E34" s="29"/>
      <x:c r="F34" s="29"/>
      <x:c r="G34" s="29"/>
      <x:c r="H34" s="29"/>
      <x:c r="I34" s="29"/>
      <x:c r="J34" s="29"/>
      <x:c r="K34" s="29"/>
    </x:row>
    <x:row r="35" ht="27" customHeight="1">
      <x:c r="A35" s="29" t="str">
        <x:v>Payment fee fissa</x:v>
      </x:c>
      <x:c r="B35" s="47" t="n">
        <x:v>0.25</x:v>
      </x:c>
      <x:c r="C35" s="29" t="str">
        <x:v>F EUR/transazione Stripe standard SEE</x:v>
      </x:c>
      <x:c r="D35" s="29"/>
      <x:c r="E35" s="29"/>
      <x:c r="F35" s="29"/>
      <x:c r="G35" s="29"/>
      <x:c r="H35" s="29"/>
      <x:c r="I35" s="29"/>
      <x:c r="J35" s="29"/>
      <x:c r="K35" s="29"/>
    </x:row>
    <x:row r="36" ht="27" customHeight="1">
      <x:c r="A36" s="29" t="str">
        <x:v>Supporto</x:v>
      </x:c>
      <x:c r="B36" s="47" t="n">
        <x:v>4</x:v>
      </x:c>
      <x:c r="C36" s="29" t="str">
        <x:v>H EUR/cliente/mese</x:v>
      </x:c>
      <x:c r="D36" s="29"/>
      <x:c r="E36" s="29"/>
      <x:c r="F36" s="29"/>
      <x:c r="G36" s="29"/>
      <x:c r="H36" s="29"/>
      <x:c r="I36" s="29"/>
      <x:c r="J36" s="29"/>
      <x:c r="K36" s="29"/>
    </x:row>
    <x:row r="37" ht="27" customHeight="1">
      <x:c r="A37" s="29" t="str">
        <x:v>KYC continuativo</x:v>
      </x:c>
      <x:c r="B37" s="47" t="n">
        <x:v>0.5</x:v>
      </x:c>
      <x:c r="C37" s="29" t="str">
        <x:v>H EUR/cliente/mese</x:v>
      </x:c>
      <x:c r="D37" s="29"/>
      <x:c r="E37" s="29"/>
      <x:c r="F37" s="29"/>
      <x:c r="G37" s="29"/>
      <x:c r="H37" s="29"/>
      <x:c r="I37" s="29"/>
      <x:c r="J37" s="29"/>
      <x:c r="K37" s="29"/>
    </x:row>
    <x:row r="38" ht="27" customHeight="1">
      <x:c r="A38" s="29" t="str">
        <x:v>Assicurazione</x:v>
      </x:c>
      <x:c r="B38" s="47" t="n">
        <x:v>0.75</x:v>
      </x:c>
      <x:c r="C38" s="29" t="str">
        <x:v>H EUR/cliente/mese, non quotazione</x:v>
      </x:c>
      <x:c r="D38" s="29"/>
      <x:c r="E38" s="29"/>
      <x:c r="F38" s="29"/>
      <x:c r="G38" s="29"/>
      <x:c r="H38" s="29"/>
      <x:c r="I38" s="29"/>
      <x:c r="J38" s="29"/>
      <x:c r="K38" s="29"/>
    </x:row>
    <x:row r="39" ht="27" customHeight="1">
      <x:c r="A39" s="29" t="str">
        <x:v>Infrastruttura/software</x:v>
      </x:c>
      <x:c r="B39" s="47" t="n">
        <x:v>0.75</x:v>
      </x:c>
      <x:c r="C39" s="29" t="str">
        <x:v>H EUR/cliente/mese</x:v>
      </x:c>
      <x:c r="D39" s="29"/>
      <x:c r="E39" s="29"/>
      <x:c r="F39" s="29"/>
      <x:c r="G39" s="29"/>
      <x:c r="H39" s="29"/>
      <x:c r="I39" s="29"/>
      <x:c r="J39" s="29"/>
      <x:c r="K39" s="29"/>
    </x:row>
    <x:row r="40" ht="27" customHeight="1">
      <x:c r="A40" s="29" t="str">
        <x:v>Partner management</x:v>
      </x:c>
      <x:c r="B40" s="47" t="n">
        <x:v>1.5</x:v>
      </x:c>
      <x:c r="C40" s="29" t="str">
        <x:v>H EUR/cliente/mese</x:v>
      </x:c>
      <x:c r="D40" s="29"/>
      <x:c r="E40" s="29"/>
      <x:c r="F40" s="29"/>
      <x:c r="G40" s="29"/>
      <x:c r="H40" s="29"/>
      <x:c r="I40" s="29"/>
      <x:c r="J40" s="29"/>
      <x:c r="K40" s="29"/>
    </x:row>
    <x:row r="41" ht="27" customHeight="1">
      <x:c r="A41" s="29" t="str">
        <x:v>Compliance operativa</x:v>
      </x:c>
      <x:c r="B41" s="47" t="n">
        <x:v>1.5</x:v>
      </x:c>
      <x:c r="C41" s="29" t="str">
        <x:v>H EUR/cliente/mese</x:v>
      </x:c>
      <x:c r="D41" s="29"/>
      <x:c r="E41" s="29"/>
      <x:c r="F41" s="29"/>
      <x:c r="G41" s="29"/>
      <x:c r="H41" s="29"/>
      <x:c r="I41" s="29"/>
      <x:c r="J41" s="29"/>
      <x:c r="K41" s="29"/>
    </x:row>
    <x:row r="42" ht="27" customHeight="1">
      <x:c r="A42" s="29" t="str">
        <x:v>Billing/Connect</x:v>
      </x:c>
      <x:c r="B42" s="47" t="n">
        <x:v>0.5</x:v>
      </x:c>
      <x:c r="C42" s="29" t="str">
        <x:v>H EUR/cliente/mese, da quotare</x:v>
      </x:c>
      <x:c r="D42" s="29"/>
      <x:c r="E42" s="29"/>
      <x:c r="F42" s="29"/>
      <x:c r="G42" s="29"/>
      <x:c r="H42" s="29"/>
      <x:c r="I42" s="29"/>
      <x:c r="J42" s="29"/>
      <x:c r="K42" s="29"/>
    </x:row>
    <x:row r="43" ht="27" customHeight="1">
      <x:c r="A43" s="29" t="str">
        <x:v>Perdite e rimborsi</x:v>
      </x:c>
      <x:c r="B43" s="47" t="n">
        <x:v>0.5</x:v>
      </x:c>
      <x:c r="C43" s="29" t="str">
        <x:v>H EUR/cliente/mese</x:v>
      </x:c>
      <x:c r="D43" s="29"/>
      <x:c r="E43" s="29"/>
      <x:c r="F43" s="29"/>
      <x:c r="G43" s="29"/>
      <x:c r="H43" s="29"/>
      <x:c r="I43" s="29"/>
      <x:c r="J43" s="29"/>
      <x:c r="K43" s="29"/>
    </x:row>
    <x:row r="44" ht="27" customHeight="1">
      <x:c r="A44" s="29" t="str">
        <x:v>CAC completo</x:v>
      </x:c>
      <x:c r="B44" s="47" t="n">
        <x:v>180</x:v>
      </x:c>
      <x:c r="C44" s="29" t="str">
        <x:v>H EUR/nuovo attivato</x:v>
      </x:c>
      <x:c r="D44" s="29"/>
      <x:c r="E44" s="29"/>
      <x:c r="F44" s="29"/>
      <x:c r="G44" s="29"/>
      <x:c r="H44" s="29"/>
      <x:c r="I44" s="29"/>
      <x:c r="J44" s="29"/>
      <x:c r="K44" s="29"/>
    </x:row>
    <x:row r="45" ht="27" customHeight="1">
      <x:c r="A45" s="29" t="str">
        <x:v>KYC/KYB onboarding</x:v>
      </x:c>
      <x:c r="B45" s="47" t="n">
        <x:v>24</x:v>
      </x:c>
      <x:c r="C45" s="29" t="str">
        <x:v>H EUR/nuovo attivato, include quota falliti</x:v>
      </x:c>
      <x:c r="D45" s="29"/>
      <x:c r="E45" s="29"/>
      <x:c r="F45" s="29"/>
      <x:c r="G45" s="29"/>
      <x:c r="H45" s="29"/>
      <x:c r="I45" s="29"/>
      <x:c r="J45" s="29"/>
      <x:c r="K45" s="29"/>
    </x:row>
    <x:row r="46" ht="27" customHeight="1">
      <x:c r="A46" s="29" t="str">
        <x:v>Churn mensile</x:v>
      </x:c>
      <x:c r="B46" s="48" t="n">
        <x:v>0.02</x:v>
      </x:c>
      <x:c r="C46" s="29" t="str">
        <x:v>H clienti persi / base iniziale</x:v>
      </x:c>
      <x:c r="D46" s="29"/>
      <x:c r="E46" s="29"/>
      <x:c r="F46" s="29"/>
      <x:c r="G46" s="29"/>
      <x:c r="H46" s="29"/>
      <x:c r="I46" s="29"/>
      <x:c r="J46" s="29"/>
      <x:c r="K46" s="29"/>
    </x:row>
    <x:row r="47" ht="27" customHeight="1">
      <x:c r="A47" s="29" t="str">
        <x:v>Struttura centrale</x:v>
      </x:c>
      <x:c r="B47" s="47" t="n">
        <x:v>15000</x:v>
      </x:c>
      <x:c r="C47" s="29" t="str">
        <x:v>H EUR/mese, incrementale rispetto ai variabili</x:v>
      </x:c>
      <x:c r="D47" s="29"/>
      <x:c r="E47" s="29"/>
      <x:c r="F47" s="29"/>
      <x:c r="G47" s="29"/>
      <x:c r="H47" s="29"/>
      <x:c r="I47" s="29"/>
      <x:c r="J47" s="29"/>
      <x:c r="K47" s="29"/>
    </x:row>
    <x:row r="48" ht="24" customHeight="1">
      <x:c r="A48" s="29"/>
      <x:c r="B48" s="29"/>
      <x:c r="C48" s="29"/>
      <x:c r="D48" s="29"/>
      <x:c r="E48" s="29"/>
      <x:c r="F48" s="29"/>
      <x:c r="G48" s="29"/>
      <x:c r="H48" s="29"/>
      <x:c r="I48" s="29"/>
      <x:c r="J48" s="29"/>
      <x:c r="K48" s="29"/>
    </x:row>
    <x:row r="49" ht="24" customHeight="1">
      <x:c r="A49" s="29"/>
      <x:c r="B49" s="29"/>
      <x:c r="C49" s="29"/>
      <x:c r="D49" s="29"/>
      <x:c r="E49" s="29"/>
      <x:c r="F49" s="29"/>
      <x:c r="G49" s="29"/>
      <x:c r="H49" s="29"/>
      <x:c r="I49" s="29"/>
      <x:c r="J49" s="29"/>
      <x:c r="K49" s="29"/>
    </x:row>
    <x:row r="50" ht="24" customHeight="1">
      <x:c r="A50" s="29" t="str">
        <x:v>Sensitività: modificare un input alla volta e leggere contributo, payback e pareggio.</x:v>
      </x:c>
      <x:c r="B50" s="29"/>
      <x:c r="C50" s="29"/>
      <x:c r="D50" s="29"/>
      <x:c r="E50" s="29"/>
      <x:c r="F50" s="29"/>
      <x:c r="G50" s="29"/>
      <x:c r="H50" s="29"/>
      <x:c r="I50" s="29"/>
      <x:c r="J50" s="29"/>
      <x:c r="K50" s="29"/>
    </x:row>
    <x:row r="51" ht="24" customHeight="1">
      <x:c r="A51" s="29" t="str">
        <x:v>Il rapporto HTML include confronto prezzi/partner e CAC. La formula qui ricalcola un solo modello.</x:v>
      </x:c>
      <x:c r="B51" s="29"/>
      <x:c r="C51" s="29"/>
      <x:c r="D51" s="29"/>
      <x:c r="E51" s="29"/>
      <x:c r="F51" s="29"/>
      <x:c r="G51" s="29"/>
      <x:c r="H51" s="29"/>
      <x:c r="I51" s="29"/>
      <x:c r="J51" s="29"/>
      <x:c r="K51" s="29"/>
    </x:row>
    <x:row r="52" ht="24" customHeight="1">
      <x:c r="A52" s="29" t="str">
        <x:v>I canoni partner includono attività fisica solo entro limiti contrattuali da definire.</x:v>
      </x:c>
      <x:c r="B52" s="29"/>
      <x:c r="C52" s="29"/>
      <x:c r="D52" s="29"/>
      <x:c r="E52" s="29"/>
      <x:c r="F52" s="29"/>
      <x:c r="G52" s="29"/>
      <x:c r="H52" s="29"/>
      <x:c r="I52" s="29"/>
      <x:c r="J52" s="29"/>
      <x:c r="K52" s="29"/>
    </x:row>
    <x:row r="53" ht="24" customHeight="1">
      <x:c r="A53" s="29" t="str">
        <x:v>In agenzia il ricavo contabile può essere la sola fee; “volume” evita di assumere il trattamento.</x:v>
      </x:c>
      <x:c r="B53" s="29"/>
      <x:c r="C53" s="29"/>
      <x:c r="D53" s="29"/>
      <x:c r="E53" s="29"/>
      <x:c r="F53" s="29"/>
      <x:c r="G53" s="29"/>
      <x:c r="H53" s="29"/>
      <x:c r="I53" s="29"/>
      <x:c r="J53" s="29"/>
      <x:c r="K53" s="29"/>
    </x:row>
    <x:row r="54" ht="24" customHeight="1">
      <x:c r="A54" s="29" t="str">
        <x:v>Fonte ipotesi: scenario analitico Adrexa, non dati operativi reali.</x:v>
      </x:c>
      <x:c r="B54" s="29"/>
      <x:c r="C54" s="29"/>
      <x:c r="D54" s="29"/>
      <x:c r="E54" s="29"/>
      <x:c r="F54" s="29"/>
      <x:c r="G54" s="29"/>
      <x:c r="H54" s="29"/>
      <x:c r="I54" s="29"/>
      <x:c r="J54" s="29"/>
      <x:c r="K54" s="29"/>
    </x:row>
    <x:row r="55" ht="24" customHeight="1">
      <x:c r="A55" s="29" t="str">
        <x:v>Formula payback semplice senza churn. Contributo atteso coorte include churn costante.</x:v>
      </x:c>
      <x:c r="B55" s="29"/>
      <x:c r="C55" s="29"/>
      <x:c r="D55" s="29"/>
      <x:c r="E55" s="29"/>
      <x:c r="F55" s="29"/>
      <x:c r="G55" s="29"/>
      <x:c r="H55" s="29"/>
      <x:c r="I55" s="29"/>
      <x:c r="J55" s="29"/>
      <x:c r="K55" s="29"/>
    </x:row>
    <x:row r="56" ht="24" customHeight="1">
      <x:c r="A56" s="29"/>
      <x:c r="B56" s="29"/>
      <x:c r="C56" s="29"/>
      <x:c r="D56" s="29"/>
      <x:c r="E56" s="29"/>
      <x:c r="F56" s="29"/>
      <x:c r="G56" s="29"/>
      <x:c r="H56" s="29"/>
      <x:c r="I56" s="29"/>
      <x:c r="J56" s="29"/>
      <x:c r="K56" s="29"/>
    </x:row>
    <x:row r="57" ht="24" customHeight="1">
      <x:c r="A57" s="29"/>
      <x:c r="B57" s="29"/>
      <x:c r="C57" s="29"/>
      <x:c r="D57" s="29"/>
      <x:c r="E57" s="29"/>
      <x:c r="F57" s="29"/>
      <x:c r="G57" s="29"/>
      <x:c r="H57" s="29"/>
      <x:c r="I57" s="29"/>
      <x:c r="J57" s="29"/>
      <x:c r="K57" s="2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7" hidden="0" customWidth="1"/>
    <x:col min="9" max="9" width="27" hidden="0" customWidth="1"/>
    <x:col min="10" max="10" width="27" hidden="0" customWidth="1"/>
    <x:col min="11" max="11" width="48" hidden="0" customWidth="1"/>
    <x:col min="12" max="12" width="27" hidden="0" customWidth="1"/>
  </x:cols>
  <x:sheetData>
    <x:row r="1" ht="24" customHeight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</x:row>
    <x:row r="2" ht="28" customHeight="1">
      <x:c r="A2" s="30" t="str">
        <x:v>Prezzi osservati · equivalente mensile in valuta originale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</x:row>
    <x:row r="3" ht="24" customHeight="1">
      <x:c r="A3" s="29" t="str">
        <x:v>Importo / mesi, senza conversioni FX. “Da” non vale per ogni sede; setup non trovato non significa zero.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 ht="24" customHeight="1">
      <x:c r="A4" s="29"/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 ht="24" customHeight="1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 ht="36" customHeight="1">
      <x:c r="A6" s="36" t="str">
        <x:v>Operatore</x:v>
      </x:c>
      <x:c r="B6" s="36" t="str">
        <x:v>Città</x:v>
      </x:c>
      <x:c r="C6" s="36" t="str">
        <x:v>Servizio</x:v>
      </x:c>
      <x:c r="D6" s="36" t="str">
        <x:v>Importo contratto</x:v>
      </x:c>
      <x:c r="E6" s="36" t="str">
        <x:v>Mesi</x:v>
      </x:c>
      <x:c r="F6" s="36" t="str">
        <x:v>Valuta</x:v>
      </x:c>
      <x:c r="G6" s="36" t="str">
        <x:v>Equivalente/mese</x:v>
      </x:c>
      <x:c r="H6" s="36" t="str">
        <x:v>IVA</x:v>
      </x:c>
      <x:c r="I6" s="36" t="str">
        <x:v>Setup</x:v>
      </x:c>
      <x:c r="J6" s="36" t="str">
        <x:v>Extra</x:v>
      </x:c>
      <x:c r="K6" s="36" t="str">
        <x:v>Note</x:v>
      </x:c>
      <x:c r="L6" s="36" t="str">
        <x:v>Fonte</x:v>
      </x:c>
    </x:row>
    <x:row r="7" ht="38" customHeight="1">
      <x:c r="A7" s="31" t="str">
        <x:v>Coworld</x:v>
      </x:c>
      <x:c r="B7" s="31" t="str">
        <x:v>Milano/Segrate</x:v>
      </x:c>
      <x:c r="C7" s="31" t="str">
        <x:v>Sede + ricezione</x:v>
      </x:c>
      <x:c r="D7" s="59" t="n">
        <x:v>828</x:v>
      </x:c>
      <x:c r="E7" s="60" t="n">
        <x:v>12</x:v>
      </x:c>
      <x:c r="F7" s="31" t="str">
        <x:v>EUR</x:v>
      </x:c>
      <x:c r="G7" s="59" t="n">
        <x:f>D7/E7</x:f>
        <x:v>69</x:v>
      </x:c>
      <x:c r="H7" s="31" t="str">
        <x:v>esclusa</x:v>
      </x:c>
      <x:c r="I7" s="31" t="str">
        <x:v>non trovato</x:v>
      </x:c>
      <x:c r="J7" s="31" t="str">
        <x:v>Scan non documentata nel piano</x:v>
      </x:c>
      <x:c r="K7" s="31" t="str">
        <x:v>Annuale anticipato; €69/mese equivalente</x:v>
      </x:c>
      <x:c r="L7" s="31" t="str">
        <x:v>cw</x:v>
      </x:c>
    </x:row>
    <x:row r="8" ht="38" customHeight="1">
      <x:c r="A8" s="31" t="str">
        <x:v>Coworld</x:v>
      </x:c>
      <x:c r="B8" s="31" t="str">
        <x:v>Milano/Segrate</x:v>
      </x:c>
      <x:c r="C8" s="31" t="str">
        <x:v>Premium + lounge + 2h sale</x:v>
      </x:c>
      <x:c r="D8" s="59" t="n">
        <x:v>1428</x:v>
      </x:c>
      <x:c r="E8" s="60" t="n">
        <x:v>12</x:v>
      </x:c>
      <x:c r="F8" s="31" t="str">
        <x:v>EUR</x:v>
      </x:c>
      <x:c r="G8" s="59" t="n">
        <x:f>D8/E8</x:f>
        <x:v>119</x:v>
      </x:c>
      <x:c r="H8" s="31" t="str">
        <x:v>esclusa</x:v>
      </x:c>
      <x:c r="I8" s="31" t="str">
        <x:v>non trovato</x:v>
      </x:c>
      <x:c r="J8" s="31" t="str">
        <x:v>Scan non documentata</x:v>
      </x:c>
      <x:c r="K8" s="31" t="str">
        <x:v>Checkout119; pagina locale83 da chiarire</x:v>
      </x:c>
      <x:c r="L8" s="31" t="str">
        <x:v>cw</x:v>
      </x:c>
    </x:row>
    <x:row r="9" ht="38" customHeight="1">
      <x:c r="A9" s="31" t="str">
        <x:v>Coworld</x:v>
      </x:c>
      <x:c r="B9" s="31" t="str">
        <x:v>Milano/Segrate</x:v>
      </x:c>
      <x:c r="C9" s="31" t="str">
        <x:v>VO + telefono + 4h sale</x:v>
      </x:c>
      <x:c r="D9" s="59" t="n">
        <x:v>3348</x:v>
      </x:c>
      <x:c r="E9" s="60" t="n">
        <x:v>12</x:v>
      </x:c>
      <x:c r="F9" s="31" t="str">
        <x:v>EUR</x:v>
      </x:c>
      <x:c r="G9" s="59" t="n">
        <x:f>D9/E9</x:f>
        <x:v>279</x:v>
      </x:c>
      <x:c r="H9" s="31" t="str">
        <x:v>esclusa</x:v>
      </x:c>
      <x:c r="I9" s="31" t="str">
        <x:v>non trovato</x:v>
      </x:c>
      <x:c r="J9" s="31" t="str">
        <x:v>Limiti contrattuali da leggere</x:v>
      </x:c>
      <x:c r="K9" s="31" t="str">
        <x:v>Annuale anticipato</x:v>
      </x:c>
      <x:c r="L9" s="31" t="str">
        <x:v>cw</x:v>
      </x:c>
    </x:row>
    <x:row r="10" ht="38" customHeight="1">
      <x:c r="A10" s="31" t="str">
        <x:v>CostoDomiciliazione...</x:v>
      </x:c>
      <x:c r="B10" s="31" t="str">
        <x:v>Milano</x:v>
      </x:c>
      <x:c r="C10" s="31" t="str">
        <x:v>Sede + ricezione</x:v>
      </x:c>
      <x:c r="D10" s="59" t="n">
        <x:v>365</x:v>
      </x:c>
      <x:c r="E10" s="60" t="n">
        <x:v>12</x:v>
      </x:c>
      <x:c r="F10" s="31" t="str">
        <x:v>EUR</x:v>
      </x:c>
      <x:c r="G10" s="59" t="n">
        <x:f>D10/E10</x:f>
        <x:v>30.416666666666668</x:v>
      </x:c>
      <x:c r="H10" s="31" t="str">
        <x:v>esclusa</x:v>
      </x:c>
      <x:c r="I10" s="31" t="str">
        <x:v>non trovato</x:v>
      </x:c>
      <x:c r="J10" s="31" t="str">
        <x:v>Spedizione a costo vivo</x:v>
      </x:c>
      <x:c r="K10" s="31" t="str">
        <x:v>Due rate semestrali; non assumere scansioni</x:v>
      </x:c>
      <x:c r="L10" s="31" t="str">
        <x:v>dm</x:v>
      </x:c>
    </x:row>
    <x:row r="11" ht="38" customHeight="1">
      <x:c r="A11" s="31" t="str">
        <x:v>SedeLegaleMilano.org</x:v>
      </x:c>
      <x:c r="B11" s="31" t="str">
        <x:v>Milano</x:v>
      </x:c>
      <x:c r="C11" s="31" t="str">
        <x:v>Sede, prezzo promo</x:v>
      </x:c>
      <x:c r="D11" s="59" t="n">
        <x:v>45</x:v>
      </x:c>
      <x:c r="E11" s="60" t="n">
        <x:v>1</x:v>
      </x:c>
      <x:c r="F11" s="31" t="str">
        <x:v>EUR</x:v>
      </x:c>
      <x:c r="G11" s="59" t="n">
        <x:f>D11/E11</x:f>
        <x:v>45</x:v>
      </x:c>
      <x:c r="H11" s="31" t="str">
        <x:v>esclusa</x:v>
      </x:c>
      <x:c r="I11" s="31" t="str">
        <x:v>non trovato</x:v>
      </x:c>
      <x:c r="J11" s="31" t="str">
        <x:v>Sala40€/h</x:v>
      </x:c>
      <x:c r="K11" s="31" t="str">
        <x:v>Condizioni promo e durata da confermare; non prezzo universale</x:v>
      </x:c>
      <x:c r="L11" s="31" t="str">
        <x:v>sb</x:v>
      </x:c>
    </x:row>
    <x:row r="12" ht="38" customHeight="1">
      <x:c r="A12" s="31" t="str">
        <x:v>CUBE</x:v>
      </x:c>
      <x:c r="B12" s="31" t="str">
        <x:v>Roma</x:v>
      </x:c>
      <x:c r="C12" s="31" t="str">
        <x:v>Sede + ricezione</x:v>
      </x:c>
      <x:c r="D12" s="59" t="n">
        <x:v>600</x:v>
      </x:c>
      <x:c r="E12" s="60" t="n">
        <x:v>12</x:v>
      </x:c>
      <x:c r="F12" s="31" t="str">
        <x:v>EUR</x:v>
      </x:c>
      <x:c r="G12" s="59" t="n">
        <x:f>D12/E12</x:f>
        <x:v>50</x:v>
      </x:c>
      <x:c r="H12" s="31" t="str">
        <x:v>esclusa</x:v>
      </x:c>
      <x:c r="I12" s="31" t="str">
        <x:v>non trovato</x:v>
      </x:c>
      <x:c r="J12" s="31" t="str">
        <x:v>Scan non trovato</x:v>
      </x:c>
      <x:c r="K12" s="31" t="str"/>
      <x:c r="L12" s="31" t="str">
        <x:v>cu</x:v>
      </x:c>
    </x:row>
    <x:row r="13" ht="38" customHeight="1">
      <x:c r="A13" s="31" t="str">
        <x:v>Olea</x:v>
      </x:c>
      <x:c r="B13" s="31" t="str">
        <x:v>Berlin Zehdenicker</x:v>
      </x:c>
      <x:c r="C13" s="31" t="str">
        <x:v>Sede + mailbox digitale</x:v>
      </x:c>
      <x:c r="D13" s="59" t="n">
        <x:v>69</x:v>
      </x:c>
      <x:c r="E13" s="60" t="n">
        <x:v>1</x:v>
      </x:c>
      <x:c r="F13" s="31" t="str">
        <x:v>EUR</x:v>
      </x:c>
      <x:c r="G13" s="59" t="n">
        <x:f>D13/E13</x:f>
        <x:v>69</x:v>
      </x:c>
      <x:c r="H13" s="31" t="str">
        <x:v>da confermare al checkout per cliente</x:v>
      </x:c>
      <x:c r="I13" s="31" t="n">
        <x:v>0</x:v>
      </x:c>
      <x:c r="J13" s="31" t="str">
        <x:v>5 scansioni; extra0,79; inoltro1+porto</x:v>
      </x:c>
      <x:c r="K13" s="31" t="str">
        <x:v>Disponibilità digitale specifica; €69 visualizzato prima dati fiscali</x:v>
      </x:c>
      <x:c r="L13" s="31" t="str">
        <x:v>oh</x:v>
      </x:c>
    </x:row>
    <x:row r="14" ht="38" customHeight="1">
      <x:c r="A14" s="31" t="str">
        <x:v>My Virtual Office</x:v>
      </x:c>
      <x:c r="B14" s="31" t="str">
        <x:v>Düsseldorf</x:v>
      </x:c>
      <x:c r="C14" s="31" t="str">
        <x:v>Sede, piano annuale</x:v>
      </x:c>
      <x:c r="D14" s="59" t="n">
        <x:v>787</x:v>
      </x:c>
      <x:c r="E14" s="60" t="n">
        <x:v>12</x:v>
      </x:c>
      <x:c r="F14" s="31" t="str">
        <x:v>EUR</x:v>
      </x:c>
      <x:c r="G14" s="59" t="n">
        <x:f>D14/E14</x:f>
        <x:v>65.58333333333333</x:v>
      </x:c>
      <x:c r="H14" s="31" t="str">
        <x:v>trattamento da confermare</x:v>
      </x:c>
      <x:c r="I14" s="31" t="str">
        <x:v>non trovato</x:v>
      </x:c>
      <x:c r="J14" s="31" t="str">
        <x:v>Prestazioni per contratto partner</x:v>
      </x:c>
      <x:c r="K14" s="31" t="str">
        <x:v>Nuovi ordini sospesi nella prova; headline arrotondata66</x:v>
      </x:c>
      <x:c r="L14" s="31" t="str">
        <x:v>mh</x:v>
      </x:c>
    </x:row>
    <x:row r="15" ht="38" customHeight="1">
      <x:c r="A15" s="31" t="str">
        <x:v>Clevver</x:v>
      </x:c>
      <x:c r="B15" s="31" t="str">
        <x:v>Milano</x:v>
      </x:c>
      <x:c r="C15" s="31" t="str">
        <x:v>Business/mail address, NON sede legale</x:v>
      </x:c>
      <x:c r="D15" s="59" t="n">
        <x:v>155.4</x:v>
      </x:c>
      <x:c r="E15" s="60" t="n">
        <x:v>12</x:v>
      </x:c>
      <x:c r="F15" s="31" t="str">
        <x:v>EUR</x:v>
      </x:c>
      <x:c r="G15" s="59" t="n">
        <x:f>D15/E15</x:f>
        <x:v>12.950000000000001</x:v>
      </x:c>
      <x:c r="H15" s="31" t="str">
        <x:v>esclusa</x:v>
      </x:c>
      <x:c r="I15" s="31" t="n">
        <x:v>0</x:v>
      </x:c>
      <x:c r="J15" s="31" t="str">
        <x:v>Limiti lettere/scan; spedizioni extra</x:v>
      </x:c>
      <x:c r="K15" s="31" t="str">
        <x:v>Dettaglio12,95; headline24,95 incoerente: preventivo da confermare</x:v>
      </x:c>
      <x:c r="L15" s="31" t="str">
        <x:v>cm</x:v>
      </x:c>
    </x:row>
    <x:row r="16" ht="38" customHeight="1">
      <x:c r="A16" s="31" t="str">
        <x:v>SeDomicilier</x:v>
      </x:c>
      <x:c r="B16" s="31" t="str">
        <x:v>Francia, da</x:v>
      </x:c>
      <x:c r="C16" s="31" t="str">
        <x:v>Società + scansioni</x:v>
      </x:c>
      <x:c r="D16" s="59" t="n">
        <x:v>20</x:v>
      </x:c>
      <x:c r="E16" s="60" t="n">
        <x:v>1</x:v>
      </x:c>
      <x:c r="F16" s="31" t="str">
        <x:v>EUR</x:v>
      </x:c>
      <x:c r="G16" s="59" t="n">
        <x:f>D16/E16</x:f>
        <x:v>20</x:v>
      </x:c>
      <x:c r="H16" s="31" t="str">
        <x:v>esclusa</x:v>
      </x:c>
      <x:c r="I16" s="31" t="str">
        <x:v>non trovato</x:v>
      </x:c>
      <x:c r="J16" s="31" t="str">
        <x:v>Inoltro da2,50/lettera o10/mese</x:v>
      </x:c>
      <x:c r="K16" s="31" t="str">
        <x:v>Minimo pubblicizzato, non ogni indirizzo Paris</x:v>
      </x:c>
      <x:c r="L16" s="31" t="str">
        <x:v>sp</x:v>
      </x:c>
    </x:row>
    <x:row r="17" ht="38" customHeight="1">
      <x:c r="A17" s="31" t="str">
        <x:v>SeDomicilier</x:v>
      </x:c>
      <x:c r="B17" s="31" t="str">
        <x:v>Francia, da</x:v>
      </x:c>
      <x:c r="C17" s="31" t="str">
        <x:v>Società + scansioni, 3anni</x:v>
      </x:c>
      <x:c r="D17" s="59" t="n">
        <x:v>504</x:v>
      </x:c>
      <x:c r="E17" s="60" t="n">
        <x:v>36</x:v>
      </x:c>
      <x:c r="F17" s="31" t="str">
        <x:v>EUR</x:v>
      </x:c>
      <x:c r="G17" s="59" t="n">
        <x:f>D17/E17</x:f>
        <x:v>14</x:v>
      </x:c>
      <x:c r="H17" s="31" t="str">
        <x:v>esclusa</x:v>
      </x:c>
      <x:c r="I17" s="31" t="str">
        <x:v>non trovato</x:v>
      </x:c>
      <x:c r="J17" s="31" t="str">
        <x:v>Inoltro extra</x:v>
      </x:c>
      <x:c r="K17" s="31" t="str">
        <x:v>Anticipo36mesi; codice settembre scaduto non usato</x:v>
      </x:c>
      <x:c r="L17" s="31" t="str">
        <x:v>sp</x:v>
      </x:c>
    </x:row>
    <x:row r="18" ht="38" customHeight="1">
      <x:c r="A18" s="31" t="str">
        <x:v>SeDomicilier</x:v>
      </x:c>
      <x:c r="B18" s="31" t="str">
        <x:v>Francia, da</x:v>
      </x:c>
      <x:c r="C18" s="31" t="str">
        <x:v>Microimpresa + scansioni</x:v>
      </x:c>
      <x:c r="D18" s="59" t="n">
        <x:v>16</x:v>
      </x:c>
      <x:c r="E18" s="60" t="n">
        <x:v>1</x:v>
      </x:c>
      <x:c r="F18" s="31" t="str">
        <x:v>EUR</x:v>
      </x:c>
      <x:c r="G18" s="59" t="n">
        <x:f>D18/E18</x:f>
        <x:v>16</x:v>
      </x:c>
      <x:c r="H18" s="31" t="str">
        <x:v>esclusa</x:v>
      </x:c>
      <x:c r="I18" s="31" t="str">
        <x:v>non trovato</x:v>
      </x:c>
      <x:c r="J18" s="31" t="str">
        <x:v>Inoltro extra</x:v>
      </x:c>
      <x:c r="K18" s="31" t="str">
        <x:v>Non equiparare a tariffa società</x:v>
      </x:c>
      <x:c r="L18" s="31" t="str">
        <x:v>sp</x:v>
      </x:c>
    </x:row>
    <x:row r="19" ht="38" customHeight="1">
      <x:c r="A19" s="31" t="str">
        <x:v>LegalPlace</x:v>
      </x:c>
      <x:c r="B19" s="31" t="str">
        <x:v>Francia, da</x:v>
      </x:c>
      <x:c r="C19" s="31" t="str">
        <x:v>Domiciliazione</x:v>
      </x:c>
      <x:c r="D19" s="59" t="n">
        <x:v>17</x:v>
      </x:c>
      <x:c r="E19" s="60" t="n">
        <x:v>1</x:v>
      </x:c>
      <x:c r="F19" s="31" t="str">
        <x:v>EUR</x:v>
      </x:c>
      <x:c r="G19" s="59" t="n">
        <x:f>D19/E19</x:f>
        <x:v>17</x:v>
      </x:c>
      <x:c r="H19" s="31" t="str">
        <x:v>esclusa</x:v>
      </x:c>
      <x:c r="I19" s="31" t="str">
        <x:v>non trovato</x:v>
      </x:c>
      <x:c r="J19" s="31" t="str">
        <x:v>Durata e limiti da confermare</x:v>
      </x:c>
      <x:c r="K19" s="31" t="str"/>
      <x:c r="L19" s="31" t="str">
        <x:v>lp</x:v>
      </x:c>
    </x:row>
    <x:row r="20" ht="38" customHeight="1">
      <x:c r="A20" s="31" t="str">
        <x:v>Àtic Group</x:v>
      </x:c>
      <x:c r="B20" s="31" t="str">
        <x:v>Barcelona/Mataró</x:v>
      </x:c>
      <x:c r="C20" s="31" t="str">
        <x:v>Basic indirizzo + ricezione</x:v>
      </x:c>
      <x:c r="D20" s="59" t="n">
        <x:v>29</x:v>
      </x:c>
      <x:c r="E20" s="60" t="n">
        <x:v>1</x:v>
      </x:c>
      <x:c r="F20" s="31" t="str">
        <x:v>EUR</x:v>
      </x:c>
      <x:c r="G20" s="59" t="n">
        <x:f>D20/E20</x:f>
        <x:v>29</x:v>
      </x:c>
      <x:c r="H20" s="31" t="str">
        <x:v>esclusa</x:v>
      </x:c>
      <x:c r="I20" s="31" t="str">
        <x:v>non trovato</x:v>
      </x:c>
      <x:c r="J20" s="31" t="str">
        <x:v>Inoltro su richiesta</x:v>
      </x:c>
      <x:c r="K20" s="31" t="str">
        <x:v>Modalità di pagamento Basic da confermare</x:v>
      </x:c>
      <x:c r="L20" s="31" t="str">
        <x:v>at</x:v>
      </x:c>
    </x:row>
    <x:row r="21" ht="38" customHeight="1">
      <x:c r="A21" s="31" t="str">
        <x:v>Àtic Group</x:v>
      </x:c>
      <x:c r="B21" s="31" t="str">
        <x:v>Barcelona/Mataró</x:v>
      </x:c>
      <x:c r="C21" s="31" t="str">
        <x:v>VO + 1h sala, annuale</x:v>
      </x:c>
      <x:c r="D21" s="59" t="n">
        <x:v>420</x:v>
      </x:c>
      <x:c r="E21" s="60" t="n">
        <x:v>12</x:v>
      </x:c>
      <x:c r="F21" s="31" t="str">
        <x:v>EUR</x:v>
      </x:c>
      <x:c r="G21" s="59" t="n">
        <x:f>D21/E21</x:f>
        <x:v>35</x:v>
      </x:c>
      <x:c r="H21" s="31" t="str">
        <x:v>esclusa</x:v>
      </x:c>
      <x:c r="I21" s="31" t="str">
        <x:v>non trovato</x:v>
      </x:c>
      <x:c r="J21" s="31" t="str">
        <x:v>Nessun deposito annuale dichiarato</x:v>
      </x:c>
      <x:c r="K21" s="31" t="str"/>
      <x:c r="L21" s="31" t="str">
        <x:v>at</x:v>
      </x:c>
    </x:row>
    <x:row r="22" ht="38" customHeight="1">
      <x:c r="A22" s="31" t="str">
        <x:v>Àtic Group</x:v>
      </x:c>
      <x:c r="B22" s="31" t="str">
        <x:v>Barcelona/Mataró</x:v>
      </x:c>
      <x:c r="C22" s="31" t="str">
        <x:v>VO + 1h sala, mensile</x:v>
      </x:c>
      <x:c r="D22" s="59" t="n">
        <x:v>45</x:v>
      </x:c>
      <x:c r="E22" s="60" t="n">
        <x:v>1</x:v>
      </x:c>
      <x:c r="F22" s="31" t="str">
        <x:v>EUR</x:v>
      </x:c>
      <x:c r="G22" s="59" t="n">
        <x:f>D22/E22</x:f>
        <x:v>45</x:v>
      </x:c>
      <x:c r="H22" s="31" t="str">
        <x:v>esclusa</x:v>
      </x:c>
      <x:c r="I22" s="31" t="str">
        <x:v>non trovato</x:v>
      </x:c>
      <x:c r="J22" s="31" t="str">
        <x:v>Deposito90€, non costo ricorrente</x:v>
      </x:c>
      <x:c r="K22" s="31" t="str"/>
      <x:c r="L22" s="31" t="str">
        <x:v>at</x:v>
      </x:c>
    </x:row>
    <x:row r="23" ht="38" customHeight="1">
      <x:c r="A23" s="31" t="str">
        <x:v>Entreprendre.ch</x:v>
      </x:c>
      <x:c r="B23" s="31" t="str">
        <x:v>Genève</x:v>
      </x:c>
      <x:c r="C23" s="31" t="str">
        <x:v>Sede c/o</x:v>
      </x:c>
      <x:c r="D23" s="59" t="n">
        <x:v>99</x:v>
      </x:c>
      <x:c r="E23" s="60" t="n">
        <x:v>1</x:v>
      </x:c>
      <x:c r="F23" s="31" t="str">
        <x:v>CHF</x:v>
      </x:c>
      <x:c r="G23" s="59" t="n">
        <x:f>D23/E23</x:f>
        <x:v>99</x:v>
      </x:c>
      <x:c r="H23" s="31" t="str">
        <x:v>esclusa</x:v>
      </x:c>
      <x:c r="I23" s="31" t="str">
        <x:v>non trovato</x:v>
      </x:c>
      <x:c r="J23" s="31" t="str">
        <x:v>Posta da10CHF/mese</x:v>
      </x:c>
      <x:c r="K23" s="31" t="str">
        <x:v>FX non applicato</x:v>
      </x:c>
      <x:c r="L23" s="31" t="str">
        <x:v>eg</x:v>
      </x:c>
    </x:row>
    <x:row r="24" ht="38" customHeight="1">
      <x:c r="A24" s="31" t="str">
        <x:v>Entreprendre.ch</x:v>
      </x:c>
      <x:c r="B24" s="31" t="str">
        <x:v>Genève</x:v>
      </x:c>
      <x:c r="C24" s="31" t="str">
        <x:v>Sede nome proprio</x:v>
      </x:c>
      <x:c r="D24" s="59" t="n">
        <x:v>109</x:v>
      </x:c>
      <x:c r="E24" s="60" t="n">
        <x:v>1</x:v>
      </x:c>
      <x:c r="F24" s="31" t="str">
        <x:v>CHF</x:v>
      </x:c>
      <x:c r="G24" s="59" t="n">
        <x:f>D24/E24</x:f>
        <x:v>109</x:v>
      </x:c>
      <x:c r="H24" s="31" t="str">
        <x:v>esclusa</x:v>
      </x:c>
      <x:c r="I24" s="31" t="str">
        <x:v>non trovato</x:v>
      </x:c>
      <x:c r="J24" s="31" t="str">
        <x:v>Posta extra</x:v>
      </x:c>
      <x:c r="K24" s="31" t="str">
        <x:v>FX non applicato</x:v>
      </x:c>
      <x:c r="L24" s="31" t="str">
        <x:v>eg</x:v>
      </x:c>
    </x:row>
    <x:row r="25" ht="38" customHeight="1">
      <x:c r="A25" s="31" t="str">
        <x:v>Virtual HQ</x:v>
      </x:c>
      <x:c r="B25" s="31" t="str">
        <x:v>UK, da</x:v>
      </x:c>
      <x:c r="C25" s="31" t="str">
        <x:v>VO base, contenuto per sede</x:v>
      </x:c>
      <x:c r="D25" s="59" t="n">
        <x:v>25</x:v>
      </x:c>
      <x:c r="E25" s="60" t="n">
        <x:v>1</x:v>
      </x:c>
      <x:c r="F25" s="31" t="str">
        <x:v>GBP</x:v>
      </x:c>
      <x:c r="G25" s="59" t="n">
        <x:f>D25/E25</x:f>
        <x:v>25</x:v>
      </x:c>
      <x:c r="H25" s="31" t="str">
        <x:v>da confermare</x:v>
      </x:c>
      <x:c r="I25" s="31" t="str">
        <x:v>non trovato</x:v>
      </x:c>
      <x:c r="J25" s="31" t="str">
        <x:v>Registered/scan secondo location</x:v>
      </x:c>
      <x:c r="K25" s="31" t="str">
        <x:v>FX non applicato</x:v>
      </x:c>
      <x:c r="L25" s="31" t="str">
        <x:v>vh</x:v>
      </x:c>
    </x:row>
    <x:row r="26" ht="38" customHeight="1">
      <x:c r="A26" s="31" t="str">
        <x:v>1st Formations</x:v>
      </x:c>
      <x:c r="B26" s="31" t="str">
        <x:v>London</x:v>
      </x:c>
      <x:c r="C26" s="31" t="str">
        <x:v>Registered office, posta statutaria</x:v>
      </x:c>
      <x:c r="D26" s="59" t="n">
        <x:v>39</x:v>
      </x:c>
      <x:c r="E26" s="60" t="n">
        <x:v>12</x:v>
      </x:c>
      <x:c r="F26" s="31" t="str">
        <x:v>GBP</x:v>
      </x:c>
      <x:c r="G26" s="59" t="n">
        <x:f>D26/E26</x:f>
        <x:v>3.25</x:v>
      </x:c>
      <x:c r="H26" s="31" t="str">
        <x:v>secondo tariffa/cliente</x:v>
      </x:c>
      <x:c r="I26" s="31" t="str">
        <x:v>non trovato</x:v>
      </x:c>
      <x:c r="J26" s="31" t="str">
        <x:v>Posta commerciale in altro piano</x:v>
      </x:c>
      <x:c r="K26" s="31" t="str">
        <x:v>Non equivalente a mailbox completa; FX non applicato</x:v>
      </x:c>
      <x:c r="L26" s="31" t="str">
        <x:v>fo</x:v>
      </x:c>
    </x:row>
    <x:row r="27" ht="38" customHeight="1">
      <x:c r="A27" s="31" t="str">
        <x:v>1st Formations</x:v>
      </x:c>
      <x:c r="B27" s="31" t="str">
        <x:v>London</x:v>
      </x:c>
      <x:c r="C27" s="31" t="str">
        <x:v>Business address</x:v>
      </x:c>
      <x:c r="D27" s="59" t="n">
        <x:v>96</x:v>
      </x:c>
      <x:c r="E27" s="60" t="n">
        <x:v>12</x:v>
      </x:c>
      <x:c r="F27" s="31" t="str">
        <x:v>GBP</x:v>
      </x:c>
      <x:c r="G27" s="59" t="n">
        <x:f>D27/E27</x:f>
        <x:v>8</x:v>
      </x:c>
      <x:c r="H27" s="31" t="str">
        <x:v>secondo tariffa/cliente</x:v>
      </x:c>
      <x:c r="I27" s="31" t="str">
        <x:v>non trovato</x:v>
      </x:c>
      <x:c r="J27" s="31" t="str">
        <x:v>Forwarding secondo condizioni</x:v>
      </x:c>
      <x:c r="K27" s="31" t="str"/>
      <x:c r="L27" s="31" t="str">
        <x:v>fo</x:v>
      </x:c>
    </x:row>
    <x:row r="28" ht="38" customHeight="1">
      <x:c r="A28" s="31" t="str">
        <x:v>ONE PLUS</x:v>
      </x:c>
      <x:c r="B28" s="31" t="str">
        <x:v>Wrocław</x:v>
      </x:c>
      <x:c r="C28" s="31" t="str">
        <x:v>VO primo anno</x:v>
      </x:c>
      <x:c r="D28" s="59" t="n">
        <x:v>600</x:v>
      </x:c>
      <x:c r="E28" s="60" t="n">
        <x:v>12</x:v>
      </x:c>
      <x:c r="F28" s="31" t="str">
        <x:v>PLN</x:v>
      </x:c>
      <x:c r="G28" s="59" t="n">
        <x:f>D28/E28</x:f>
        <x:v>50</x:v>
      </x:c>
      <x:c r="H28" s="31" t="str">
        <x:v>esclusa</x:v>
      </x:c>
      <x:c r="I28" s="31" t="str">
        <x:v>non trovato</x:v>
      </x:c>
      <x:c r="J28" s="31" t="str">
        <x:v>Rinnovo792PLN/anno</x:v>
      </x:c>
      <x:c r="K28" s="31" t="str">
        <x:v>Promo iniziale; FX non applicato</x:v>
      </x:c>
      <x:c r="L28" s="31" t="str">
        <x:v>pl</x:v>
      </x:c>
    </x:row>
    <x:row r="29" ht="38" customHeight="1">
      <x:c r="A29" s="31" t="str">
        <x:v>iPostal1</x:v>
      </x:c>
      <x:c r="B29" s="31" t="str">
        <x:v>USA, da</x:v>
      </x:c>
      <x:c r="C29" s="31" t="str">
        <x:v>Mailbox base</x:v>
      </x:c>
      <x:c r="D29" s="59" t="n">
        <x:v>9.99</x:v>
      </x:c>
      <x:c r="E29" s="60" t="n">
        <x:v>1</x:v>
      </x:c>
      <x:c r="F29" s="31" t="str">
        <x:v>USD</x:v>
      </x:c>
      <x:c r="G29" s="59" t="n">
        <x:f>D29/E29</x:f>
        <x:v>9.99</x:v>
      </x:c>
      <x:c r="H29" s="31" t="str">
        <x:v>tax secondo luogo</x:v>
      </x:c>
      <x:c r="I29" s="31" t="str">
        <x:v>non trovato</x:v>
      </x:c>
      <x:c r="J29" s="31" t="str">
        <x:v>Scansioni e inoltri extra</x:v>
      </x:c>
      <x:c r="K29" s="31" t="str">
        <x:v>Non legal office UE; FX non applicato</x:v>
      </x:c>
      <x:c r="L29" s="31" t="str">
        <x:v>im</x:v>
      </x:c>
    </x:row>
    <x:row r="30" ht="38" customHeight="1">
      <x:c r="A30" s="31" t="str">
        <x:v>Davinci</x:v>
      </x:c>
      <x:c r="B30" s="31" t="str">
        <x:v>USA, da</x:v>
      </x:c>
      <x:c r="C30" s="31" t="str">
        <x:v>Virtual office</x:v>
      </x:c>
      <x:c r="D30" s="59" t="n">
        <x:v>49</x:v>
      </x:c>
      <x:c r="E30" s="60" t="n">
        <x:v>1</x:v>
      </x:c>
      <x:c r="F30" s="31" t="str">
        <x:v>USD</x:v>
      </x:c>
      <x:c r="G30" s="59" t="n">
        <x:f>D30/E30</x:f>
        <x:v>49</x:v>
      </x:c>
      <x:c r="H30" s="31" t="str">
        <x:v>tax secondo luogo</x:v>
      </x:c>
      <x:c r="I30" s="31" t="str">
        <x:v>variabile/non trovato</x:v>
      </x:c>
      <x:c r="J30" s="31" t="str">
        <x:v>Sale e setup per sede</x:v>
      </x:c>
      <x:c r="K30" s="31" t="str">
        <x:v>FX non applicato</x:v>
      </x:c>
      <x:c r="L30" s="31" t="str">
        <x:v>dp</x:v>
      </x:c>
    </x:row>
  </x:sheetData>
  <x:pageMargins left="0.7" right="0.7" top="0.75" bottom="0.75" header="0.3" footer="0.3"/>
  <x:tableParts count="1">
    <x:tablePart xmlns:r="http://schemas.openxmlformats.org/officeDocument/2006/relationships" r:id="Reea939848f004e26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5" hidden="0" customWidth="1"/>
    <x:col min="3" max="3" width="95" hidden="0" customWidth="1"/>
    <x:col min="4" max="4" width="18" hidden="0" customWidth="1"/>
  </x:cols>
  <x:sheetData>
    <x:row r="1" ht="24" customHeight="1">
      <x:c r="A1" s="29"/>
      <x:c r="B1" s="29"/>
      <x:c r="C1" s="29"/>
      <x:c r="D1" s="29"/>
    </x:row>
    <x:row r="2" ht="28" customHeight="1">
      <x:c r="A2" s="30" t="str">
        <x:v>Fonti e URL · consultazione 1 ottobre 2026</x:v>
      </x:c>
      <x:c r="B2" s="29"/>
      <x:c r="C2" s="29"/>
      <x:c r="D2" s="29"/>
    </x:row>
    <x:row r="3" ht="24" customHeight="1">
      <x:c r="A3" s="29" t="str">
        <x:v>Documenti storici sono indicati nel titolo/rapporto. Prezzi e dichiarazioni possono cambiare.</x:v>
      </x:c>
      <x:c r="B3" s="29"/>
      <x:c r="C3" s="29"/>
      <x:c r="D3" s="29"/>
    </x:row>
    <x:row r="4" ht="24" customHeight="1">
      <x:c r="A4" s="29"/>
      <x:c r="B4" s="29"/>
      <x:c r="C4" s="29"/>
      <x:c r="D4" s="29"/>
    </x:row>
    <x:row r="5" ht="24" customHeight="1">
      <x:c r="A5" s="29"/>
      <x:c r="B5" s="29"/>
      <x:c r="C5" s="29"/>
      <x:c r="D5" s="29"/>
    </x:row>
    <x:row r="6" ht="36" customHeight="1">
      <x:c r="A6" s="36" t="str">
        <x:v>Codice</x:v>
      </x:c>
      <x:c r="B6" s="36" t="str">
        <x:v>Titolo</x:v>
      </x:c>
      <x:c r="C6" s="36" t="str">
        <x:v>URL</x:v>
      </x:c>
      <x:c r="D6" s="36" t="str">
        <x:v>Consultazione</x:v>
      </x:c>
    </x:row>
    <x:row r="7" ht="32" customHeight="1">
      <x:c r="A7" s="31" t="str">
        <x:v>op</x:v>
      </x:c>
      <x:c r="B7" s="31" t="str">
        <x:v>Olea · contratto partner</x:v>
      </x:c>
      <x:c r="C7" s="31" t="str">
        <x:v>https://oleaoffice.com/en/partner-terms</x:v>
      </x:c>
      <x:c r="D7" s="61" t="d">
        <x:v>2026-10-01T12:00:00.000Z</x:v>
      </x:c>
    </x:row>
    <x:row r="8" ht="32" customHeight="1">
      <x:c r="A8" s="31" t="str">
        <x:v>oc</x:v>
      </x:c>
      <x:c r="B8" s="31" t="str">
        <x:v>Olea · contratto cliente</x:v>
      </x:c>
      <x:c r="C8" s="31" t="str">
        <x:v>https://oleaoffice.com/en/customer-terms</x:v>
      </x:c>
      <x:c r="D8" s="61" t="d">
        <x:v>2026-10-01T12:00:00.000Z</x:v>
      </x:c>
    </x:row>
    <x:row r="9" ht="32" customHeight="1">
      <x:c r="A9" s="31" t="str">
        <x:v>oh</x:v>
      </x:c>
      <x:c r="B9" s="31" t="str">
        <x:v>Olea · offerta e sedi</x:v>
      </x:c>
      <x:c r="C9" s="31" t="str">
        <x:v>https://oleaoffice.com/en</x:v>
      </x:c>
      <x:c r="D9" s="61" t="d">
        <x:v>2026-10-01T12:00:00.000Z</x:v>
      </x:c>
    </x:row>
    <x:row r="10" ht="32" customHeight="1">
      <x:c r="A10" s="31" t="str">
        <x:v>ol</x:v>
      </x:c>
      <x:c r="B10" s="31" t="str">
        <x:v>Olea · indice location</x:v>
      </x:c>
      <x:c r="C10" s="31" t="str">
        <x:v>https://oleaoffice.com/en/locations</x:v>
      </x:c>
      <x:c r="D10" s="61" t="d">
        <x:v>2026-10-01T12:00:00.000Z</x:v>
      </x:c>
    </x:row>
    <x:row r="11" ht="32" customHeight="1">
      <x:c r="A11" s="31" t="str">
        <x:v>ow</x:v>
      </x:c>
      <x:c r="B11" s="31" t="str">
        <x:v>Olea · richiesta spazi</x:v>
      </x:c>
      <x:c r="C11" s="31" t="str">
        <x:v>https://oleaoffice.com/en/features/workspace-booking</x:v>
      </x:c>
      <x:c r="D11" s="61" t="d">
        <x:v>2026-10-01T12:00:00.000Z</x:v>
      </x:c>
    </x:row>
    <x:row r="12" ht="34" customHeight="1">
      <x:c r="A12" s="31" t="str">
        <x:v>ox</x:v>
      </x:c>
      <x:c r="B12" s="31" t="str">
        <x:v>Olea · checkout osservato</x:v>
      </x:c>
      <x:c r="C12" s="31" t="str">
        <x:v>https://oleaoffice.com/en/checkout?location=berlin-zehdenicker-strasse&amp;billing=monthly&amp;mail=digital-mailbox</x:v>
      </x:c>
      <x:c r="D12" s="61" t="d">
        <x:v>2026-10-01T12:00:00.000Z</x:v>
      </x:c>
    </x:row>
    <x:row r="13" ht="32" customHeight="1">
      <x:c r="A13" s="31" t="str">
        <x:v>mt</x:v>
      </x:c>
      <x:c r="B13" s="31" t="str">
        <x:v>My Virtual Office · condizioni</x:v>
      </x:c>
      <x:c r="C13" s="31" t="str">
        <x:v>https://www.my-virtual-office.com/en/agb</x:v>
      </x:c>
      <x:c r="D13" s="61" t="d">
        <x:v>2026-10-01T12:00:00.000Z</x:v>
      </x:c>
    </x:row>
    <x:row r="14" ht="32" customHeight="1">
      <x:c r="A14" s="31" t="str">
        <x:v>mh</x:v>
      </x:c>
      <x:c r="B14" s="31" t="str">
        <x:v>My Virtual Office · offerta</x:v>
      </x:c>
      <x:c r="C14" s="31" t="str">
        <x:v>https://www.my-virtual-office.com/en</x:v>
      </x:c>
      <x:c r="D14" s="61" t="d">
        <x:v>2026-10-01T12:00:00.000Z</x:v>
      </x:c>
    </x:row>
    <x:row r="15" ht="32" customHeight="1">
      <x:c r="A15" s="31" t="str">
        <x:v>mp</x:v>
      </x:c>
      <x:c r="B15" s="31" t="str">
        <x:v>My Virtual Office · partner</x:v>
      </x:c>
      <x:c r="C15" s="31" t="str">
        <x:v>https://www.my-virtual-office.com/en/partner</x:v>
      </x:c>
      <x:c r="D15" s="61" t="d">
        <x:v>2026-10-01T12:00:00.000Z</x:v>
      </x:c>
    </x:row>
    <x:row r="16" ht="32" customHeight="1">
      <x:c r="A16" s="31" t="str">
        <x:v>ma</x:v>
      </x:c>
      <x:c r="B16" s="31" t="str">
        <x:v>MatchOffice · provider</x:v>
      </x:c>
      <x:c r="C16" s="31" t="str">
        <x:v>https://www.matchoffice.com/support/providers</x:v>
      </x:c>
      <x:c r="D16" s="61" t="d">
        <x:v>2026-10-01T12:00:00.000Z</x:v>
      </x:c>
    </x:row>
    <x:row r="17" ht="32" customHeight="1">
      <x:c r="A17" s="31" t="str">
        <x:v>my</x:v>
      </x:c>
      <x:c r="B17" s="31" t="str">
        <x:v>MatchOffice · storia</x:v>
      </x:c>
      <x:c r="C17" s="31" t="str">
        <x:v>https://www.matchoffice.com/about-us/company-history</x:v>
      </x:c>
      <x:c r="D17" s="61" t="d">
        <x:v>2026-10-01T12:00:00.000Z</x:v>
      </x:c>
    </x:row>
    <x:row r="18" ht="32" customHeight="1">
      <x:c r="A18" s="31" t="str">
        <x:v>mi</x:v>
      </x:c>
      <x:c r="B18" s="31" t="str">
        <x:v>MatchOffice · Italia</x:v>
      </x:c>
      <x:c r="C18" s="31" t="str">
        <x:v>https://www.matchoffice.it/</x:v>
      </x:c>
      <x:c r="D18" s="61" t="d">
        <x:v>2026-10-01T12:00:00.000Z</x:v>
      </x:c>
    </x:row>
    <x:row r="19" ht="32" customHeight="1">
      <x:c r="A19" s="31" t="str">
        <x:v>ch</x:v>
      </x:c>
      <x:c r="B19" s="31" t="str">
        <x:v>Clevver · prodotti</x:v>
      </x:c>
      <x:c r="C19" s="31" t="str">
        <x:v>https://www.clevver.io/en</x:v>
      </x:c>
      <x:c r="D19" s="61" t="d">
        <x:v>2026-10-01T12:00:00.000Z</x:v>
      </x:c>
    </x:row>
    <x:row r="20" ht="32" customHeight="1">
      <x:c r="A20" s="31" t="str">
        <x:v>ca</x:v>
      </x:c>
      <x:c r="B20" s="31" t="str">
        <x:v>Clevver · storia e dimensione dichiarata</x:v>
      </x:c>
      <x:c r="C20" s="31" t="str">
        <x:v>https://www.clevver.io/en/about</x:v>
      </x:c>
      <x:c r="D20" s="61" t="d">
        <x:v>2026-10-01T12:00:00.000Z</x:v>
      </x:c>
    </x:row>
    <x:row r="21" ht="32" customHeight="1">
      <x:c r="A21" s="31" t="str">
        <x:v>cp</x:v>
      </x:c>
      <x:c r="B21" s="31" t="str">
        <x:v>Clevver · location partner</x:v>
      </x:c>
      <x:c r="C21" s="31" t="str">
        <x:v>https://www.clevver.io/en/standort-partner</x:v>
      </x:c>
      <x:c r="D21" s="61" t="d">
        <x:v>2026-10-01T12:00:00.000Z</x:v>
      </x:c>
    </x:row>
    <x:row r="22" ht="32" customHeight="1">
      <x:c r="A22" s="31" t="str">
        <x:v>ct</x:v>
      </x:c>
      <x:c r="B22" s="31" t="str">
        <x:v>Clevver · condizioni 2025</x:v>
      </x:c>
      <x:c r="C22" s="31" t="str">
        <x:v>https://www.clevver.io/en/terms-conditions</x:v>
      </x:c>
      <x:c r="D22" s="61" t="d">
        <x:v>2026-10-01T12:00:00.000Z</x:v>
      </x:c>
    </x:row>
    <x:row r="23" ht="32" customHeight="1">
      <x:c r="A23" s="31" t="str">
        <x:v>cm</x:v>
      </x:c>
      <x:c r="B23" s="31" t="str">
        <x:v>Clevver · Milano</x:v>
      </x:c>
      <x:c r="C23" s="31" t="str">
        <x:v>https://www.clevver.io/en/locations/milan</x:v>
      </x:c>
      <x:c r="D23" s="61" t="d">
        <x:v>2026-10-01T12:00:00.000Z</x:v>
      </x:c>
    </x:row>
    <x:row r="24" ht="32" customHeight="1">
      <x:c r="A24" s="31" t="str">
        <x:v>cf</x:v>
      </x:c>
      <x:c r="B24" s="31" t="str">
        <x:v>Clevver · FAQ</x:v>
      </x:c>
      <x:c r="C24" s="31" t="str">
        <x:v>https://www.clevver.io/en/faq</x:v>
      </x:c>
      <x:c r="D24" s="61" t="d">
        <x:v>2026-10-01T12:00:00.000Z</x:v>
      </x:c>
    </x:row>
    <x:row r="25" ht="32" customHeight="1">
      <x:c r="A25" s="31" t="str">
        <x:v>cc</x:v>
      </x:c>
      <x:c r="B25" s="31" t="str">
        <x:v>Clevver · accounting</x:v>
      </x:c>
      <x:c r="C25" s="31" t="str">
        <x:v>https://www.clevver.io/products/tax-and-accounting/</x:v>
      </x:c>
      <x:c r="D25" s="61" t="d">
        <x:v>2026-10-01T12:00:00.000Z</x:v>
      </x:c>
    </x:row>
    <x:row r="26" ht="32" customHeight="1">
      <x:c r="A26" s="31" t="str">
        <x:v>sp</x:v>
      </x:c>
      <x:c r="B26" s="31" t="str">
        <x:v>SeDomicilier · prezzi</x:v>
      </x:c>
      <x:c r="C26" s="31" t="str">
        <x:v>https://sedomicilier.fr/tarifs</x:v>
      </x:c>
      <x:c r="D26" s="61" t="d">
        <x:v>2026-10-01T12:00:00.000Z</x:v>
      </x:c>
    </x:row>
    <x:row r="27" ht="32" customHeight="1">
      <x:c r="A27" s="31" t="str">
        <x:v>sh</x:v>
      </x:c>
      <x:c r="B27" s="31" t="str">
        <x:v>SeDomicilier · sito</x:v>
      </x:c>
      <x:c r="C27" s="31" t="str">
        <x:v>https://sedomicilier.fr/</x:v>
      </x:c>
      <x:c r="D27" s="61" t="d">
        <x:v>2026-10-01T12:00:00.000Z</x:v>
      </x:c>
    </x:row>
    <x:row r="28" ht="34" customHeight="1">
      <x:c r="A28" s="31" t="str">
        <x:v>st</x:v>
      </x:c>
      <x:c r="B28" s="31" t="str">
        <x:v>SeDomicilier · CGVU</x:v>
      </x:c>
      <x:c r="C28" s="31" t="str">
        <x:v>https://sedomicilier.fr/cgvus/conditions-generales-de-vente-et-d-utilisation-fr-2/download_pdf</x:v>
      </x:c>
      <x:c r="D28" s="61" t="d">
        <x:v>2026-10-01T12:00:00.000Z</x:v>
      </x:c>
    </x:row>
    <x:row r="29" ht="32" customHeight="1">
      <x:c r="A29" s="31" t="str">
        <x:v>sx</x:v>
      </x:c>
      <x:c r="B29" s="31" t="str">
        <x:v>SeDomicilier · percorso osservato</x:v>
      </x:c>
      <x:c r="C29" s="31" t="str">
        <x:v>https://app.sedomicilier.fr/fr/project</x:v>
      </x:c>
      <x:c r="D29" s="61" t="d">
        <x:v>2026-10-01T12:00:00.000Z</x:v>
      </x:c>
    </x:row>
    <x:row r="30" ht="32" customHeight="1">
      <x:c r="A30" s="31" t="str">
        <x:v>sa</x:v>
      </x:c>
      <x:c r="B30" s="31" t="str">
        <x:v>SeDomicilier · affiliazione</x:v>
      </x:c>
      <x:c r="C30" s="31" t="str">
        <x:v>https://affiliation.sedomicilier.fr/</x:v>
      </x:c>
      <x:c r="D30" s="61" t="d">
        <x:v>2026-10-01T12:00:00.000Z</x:v>
      </x:c>
    </x:row>
    <x:row r="31" ht="32" customHeight="1">
      <x:c r="A31" s="31" t="str">
        <x:v>sr</x:v>
      </x:c>
      <x:c r="B31" s="31" t="str">
        <x:v>SeDomicilier · recensioni pubbliche</x:v>
      </x:c>
      <x:c r="C31" s="31" t="str">
        <x:v>https://fr.trustpilot.com/review/sedomicilier.fr</x:v>
      </x:c>
      <x:c r="D31" s="61" t="d">
        <x:v>2026-10-01T12:00:00.000Z</x:v>
      </x:c>
    </x:row>
    <x:row r="32" ht="32" customHeight="1">
      <x:c r="A32" s="31" t="str">
        <x:v>vh</x:v>
      </x:c>
      <x:c r="B32" s="31" t="str">
        <x:v>Virtual HQ · offerta</x:v>
      </x:c>
      <x:c r="C32" s="31" t="str">
        <x:v>https://www.virtual-headquarters.com/</x:v>
      </x:c>
      <x:c r="D32" s="61" t="d">
        <x:v>2026-10-01T12:00:00.000Z</x:v>
      </x:c>
    </x:row>
    <x:row r="33" ht="34" customHeight="1">
      <x:c r="A33" s="31" t="str">
        <x:v>vt</x:v>
      </x:c>
      <x:c r="B33" s="31" t="str">
        <x:v>Virtual HQ · accordo gestione location, modello pubblico</x:v>
      </x:c>
      <x:c r="C33" s="31" t="str">
        <x:v>https://www.virtual-headquarters.com/wp-content/uploads/2024/09/Copy-of-Virtual-Headquarters-Limited-Example-Agreement-2023.pdf</x:v>
      </x:c>
      <x:c r="D33" s="61" t="d">
        <x:v>2026-10-01T12:00:00.000Z</x:v>
      </x:c>
    </x:row>
    <x:row r="34" ht="34" customHeight="1">
      <x:c r="A34" s="31" t="str">
        <x:v>va</x:v>
      </x:c>
      <x:c r="B34" s="31" t="str">
        <x:v>Virtual HQ · procedura AML partner</x:v>
      </x:c>
      <x:c r="C34" s="31" t="str">
        <x:v>https://www.virtual-headquarters.com/wp-content/uploads/2024/09/Copy-of-Virtual-Headquarters-Partner-AML-Procedures.pdf</x:v>
      </x:c>
      <x:c r="D34" s="61" t="d">
        <x:v>2026-10-01T12:00:00.000Z</x:v>
      </x:c>
    </x:row>
    <x:row r="35" ht="32" customHeight="1">
      <x:c r="A35" s="31" t="str">
        <x:v>vr</x:v>
      </x:c>
      <x:c r="B35" s="31" t="str">
        <x:v>Virtual HQ · recensioni pubbliche</x:v>
      </x:c>
      <x:c r="C35" s="31" t="str">
        <x:v>https://www.trustpilot.com/review/www.virtual-headquarters.com</x:v>
      </x:c>
      <x:c r="D35" s="61" t="d">
        <x:v>2026-10-01T12:00:00.000Z</x:v>
      </x:c>
    </x:row>
    <x:row r="36" ht="32" customHeight="1">
      <x:c r="A36" s="31" t="str">
        <x:v>hh</x:v>
      </x:c>
      <x:c r="B36" s="31" t="str">
        <x:v>Hoxton Mix · sito</x:v>
      </x:c>
      <x:c r="C36" s="31" t="str">
        <x:v>https://www.hoxtonmix.com/</x:v>
      </x:c>
      <x:c r="D36" s="61" t="d">
        <x:v>2026-10-01T12:00:00.000Z</x:v>
      </x:c>
    </x:row>
    <x:row r="37" ht="32" customHeight="1">
      <x:c r="A37" s="31" t="str">
        <x:v>he</x:v>
      </x:c>
      <x:c r="B37" s="31" t="str">
        <x:v>Hoxton Mix · enterprise</x:v>
      </x:c>
      <x:c r="C37" s="31" t="str">
        <x:v>https://www.hoxtonmix.com/enterprise/</x:v>
      </x:c>
      <x:c r="D37" s="61" t="d">
        <x:v>2026-10-01T12:00:00.000Z</x:v>
      </x:c>
    </x:row>
    <x:row r="38" ht="32" customHeight="1">
      <x:c r="A38" s="31" t="str">
        <x:v>rm</x:v>
      </x:c>
      <x:c r="B38" s="31" t="str">
        <x:v>Regus · Milano</x:v>
      </x:c>
      <x:c r="C38" s="31" t="str">
        <x:v>https://www.regus.com/it/it/milan/virtual-offices</x:v>
      </x:c>
      <x:c r="D38" s="61" t="d">
        <x:v>2026-10-01T12:00:00.000Z</x:v>
      </x:c>
    </x:row>
    <x:row r="39" ht="32" customHeight="1">
      <x:c r="A39" s="31" t="str">
        <x:v>rr</x:v>
      </x:c>
      <x:c r="B39" s="31" t="str">
        <x:v>Regus · Roma</x:v>
      </x:c>
      <x:c r="C39" s="31" t="str">
        <x:v>https://www.regus.com/it/it/rome/virtual-offices</x:v>
      </x:c>
      <x:c r="D39" s="61" t="d">
        <x:v>2026-10-01T12:00:00.000Z</x:v>
      </x:c>
    </x:row>
    <x:row r="40" ht="34" customHeight="1">
      <x:c r="A40" s="31" t="str">
        <x:v>ir</x:v>
      </x:c>
      <x:c r="B40" s="31" t="str">
        <x:v>IWG · risultati 2025</x:v>
      </x:c>
      <x:c r="C40" s="31" t="str">
        <x:v>https://investors.iwgplc.com/~/media/Files/I/IWG-IR/reports-and-presentations/2026/iwg-plc-preliminary-results-announcement-2025.pdf</x:v>
      </x:c>
      <x:c r="D40" s="61" t="d">
        <x:v>2026-10-01T12:00:00.000Z</x:v>
      </x:c>
    </x:row>
    <x:row r="41" ht="32" customHeight="1">
      <x:c r="A41" s="31" t="str">
        <x:v>co</x:v>
      </x:c>
      <x:c r="B41" s="31" t="str">
        <x:v>Copernico · sede legale</x:v>
      </x:c>
      <x:c r="C41" s="31" t="str">
        <x:v>https://www.coperni.co/it/services/sede-legale</x:v>
      </x:c>
      <x:c r="D41" s="61" t="d">
        <x:v>2026-10-01T12:00:00.000Z</x:v>
      </x:c>
    </x:row>
    <x:row r="42" ht="32" customHeight="1">
      <x:c r="A42" s="31" t="str">
        <x:v>lx</x:v>
      </x:c>
      <x:c r="B42" s="31" t="str">
        <x:v>LexDo · domiciliazione</x:v>
      </x:c>
      <x:c r="C42" s="31" t="str">
        <x:v>https://www.lexdo.it/d/costituzione-societa-srl-srls/domiciliazione-legale/</x:v>
      </x:c>
      <x:c r="D42" s="61" t="d">
        <x:v>2026-10-01T12:00:00.000Z</x:v>
      </x:c>
    </x:row>
    <x:row r="43" ht="32" customHeight="1">
      <x:c r="A43" s="31" t="str">
        <x:v>lt</x:v>
      </x:c>
      <x:c r="B43" s="31" t="str">
        <x:v>LexDo · termini di utilizzo</x:v>
      </x:c>
      <x:c r="C43" s="31" t="str">
        <x:v>https://www.lexdo.it/termini-di-utilizzo/</x:v>
      </x:c>
      <x:c r="D43" s="61" t="d">
        <x:v>2026-10-01T12:00:00.000Z</x:v>
      </x:c>
    </x:row>
    <x:row r="44" ht="32" customHeight="1">
      <x:c r="A44" s="31" t="str">
        <x:v>rc</x:v>
      </x:c>
      <x:c r="B44" s="31" t="str">
        <x:v>Rete Commercialisti · domiciliazione</x:v>
      </x:c>
      <x:c r="C44" s="31" t="str">
        <x:v>https://retecommercialisti.it/service/56/domiciliazione-societa</x:v>
      </x:c>
      <x:c r="D44" s="61" t="d">
        <x:v>2026-10-01T12:00:00.000Z</x:v>
      </x:c>
    </x:row>
    <x:row r="45" ht="32" customHeight="1">
      <x:c r="A45" s="31" t="str">
        <x:v>rp</x:v>
      </x:c>
      <x:c r="B45" s="31" t="str">
        <x:v>Rete Commercialisti · profili e prezzi</x:v>
      </x:c>
      <x:c r="C45" s="31" t="str">
        <x:v>https://retecommercialisti.it/page/prezzi</x:v>
      </x:c>
      <x:c r="D45" s="61" t="d">
        <x:v>2026-10-01T12:00:00.000Z</x:v>
      </x:c>
    </x:row>
    <x:row r="46" ht="32" customHeight="1">
      <x:c r="A46" s="31" t="str">
        <x:v>ce</x:v>
      </x:c>
      <x:c r="B46" s="31" t="str">
        <x:v>CowoCheConta · sede legale</x:v>
      </x:c>
      <x:c r="C46" s="31" t="str">
        <x:v>https://www.coworkingcheconta.it/sede-legale-a-milano-centro/</x:v>
      </x:c>
      <x:c r="D46" s="61" t="d">
        <x:v>2026-10-01T12:00:00.000Z</x:v>
      </x:c>
    </x:row>
    <x:row r="47" ht="32" customHeight="1">
      <x:c r="A47" s="31" t="str">
        <x:v>ci</x:v>
      </x:c>
      <x:c r="B47" s="31" t="str">
        <x:v>CowoCheConta · intervista 2018</x:v>
      </x:c>
      <x:c r="C47" s="31" t="str">
        <x:v>https://www.coworkingcheconta.it/sede-legale-milano/domiciliazione-legale/</x:v>
      </x:c>
      <x:c r="D47" s="61" t="d">
        <x:v>2026-10-01T12:00:00.000Z</x:v>
      </x:c>
    </x:row>
    <x:row r="48" ht="32" customHeight="1">
      <x:c r="A48" s="31" t="str">
        <x:v>cw</x:v>
      </x:c>
      <x:c r="B48" s="31" t="str">
        <x:v>Coworld · checkout e prezzi osservati</x:v>
      </x:c>
      <x:c r="C48" s="31" t="str">
        <x:v>https://www.coworld.eu/en/virtual-office?step=1</x:v>
      </x:c>
      <x:c r="D48" s="61" t="d">
        <x:v>2026-10-01T12:00:00.000Z</x:v>
      </x:c>
    </x:row>
    <x:row r="49" ht="32" customHeight="1">
      <x:c r="A49" s="31" t="str">
        <x:v>cl</x:v>
      </x:c>
      <x:c r="B49" s="31" t="str">
        <x:v>Coworld · pagina Porta Romana</x:v>
      </x:c>
      <x:c r="C49" s="31" t="str">
        <x:v>https://coworld.eu/porta-romana/</x:v>
      </x:c>
      <x:c r="D49" s="61" t="d">
        <x:v>2026-10-01T12:00:00.000Z</x:v>
      </x:c>
    </x:row>
    <x:row r="50" ht="32" customHeight="1">
      <x:c r="A50" s="31" t="str">
        <x:v>dm</x:v>
      </x:c>
      <x:c r="B50" s="31" t="str">
        <x:v>Domiciliazione Milano · offerta locale</x:v>
      </x:c>
      <x:c r="C50" s="31" t="str">
        <x:v>https://www.costodomiciliazionesedelegalemilano.it/</x:v>
      </x:c>
      <x:c r="D50" s="61" t="d">
        <x:v>2026-10-01T12:00:00.000Z</x:v>
      </x:c>
    </x:row>
    <x:row r="51" ht="32" customHeight="1">
      <x:c r="A51" s="31" t="str">
        <x:v>df</x:v>
      </x:c>
      <x:c r="B51" s="31" t="str">
        <x:v>Domiciliazione Milano · FAQ</x:v>
      </x:c>
      <x:c r="C51" s="31" t="str">
        <x:v>https://www.costodomiciliazionesedelegalemilano.it/faq/</x:v>
      </x:c>
      <x:c r="D51" s="61" t="d">
        <x:v>2026-10-01T12:00:00.000Z</x:v>
      </x:c>
    </x:row>
    <x:row r="52" ht="32" customHeight="1">
      <x:c r="A52" s="31" t="str">
        <x:v>sb</x:v>
      </x:c>
      <x:c r="B52" s="31" t="str">
        <x:v>SedeLegaleMilano.org · offerta</x:v>
      </x:c>
      <x:c r="C52" s="31" t="str">
        <x:v>https://www.sedelegalemilano.org/</x:v>
      </x:c>
      <x:c r="D52" s="61" t="d">
        <x:v>2026-10-01T12:00:00.000Z</x:v>
      </x:c>
    </x:row>
    <x:row r="53" ht="32" customHeight="1">
      <x:c r="A53" s="31" t="str">
        <x:v>su</x:v>
      </x:c>
      <x:c r="B53" s="31" t="str">
        <x:v>SedeLegaleMilano.org · virtual office</x:v>
      </x:c>
      <x:c r="C53" s="31" t="str">
        <x:v>https://www.sedelegalemilano.org/ufficio-virtuale-milano/</x:v>
      </x:c>
      <x:c r="D53" s="61" t="d">
        <x:v>2026-10-01T12:00:00.000Z</x:v>
      </x:c>
    </x:row>
    <x:row r="54" ht="32" customHeight="1">
      <x:c r="A54" s="31" t="str">
        <x:v>cu</x:v>
      </x:c>
      <x:c r="B54" s="31" t="str">
        <x:v>CUBE Suite Coworking · Roma</x:v>
      </x:c>
      <x:c r="C54" s="31" t="str">
        <x:v>https://www.cubecoworking.it/servizi/domiciliazione</x:v>
      </x:c>
      <x:c r="D54" s="61" t="d">
        <x:v>2026-10-01T12:00:00.000Z</x:v>
      </x:c>
    </x:row>
    <x:row r="55" ht="32" customHeight="1">
      <x:c r="A55" s="31" t="str">
        <x:v>iw</x:v>
      </x:c>
      <x:c r="B55" s="31" t="str">
        <x:v>i-WorkinRome · servizi</x:v>
      </x:c>
      <x:c r="C55" s="31" t="str">
        <x:v>https://www.iworkinrome.com/</x:v>
      </x:c>
      <x:c r="D55" s="61" t="d">
        <x:v>2026-10-01T12:00:00.000Z</x:v>
      </x:c>
    </x:row>
    <x:row r="56" ht="32" customHeight="1">
      <x:c r="A56" s="31" t="str">
        <x:v>ro</x:v>
      </x:c>
      <x:c r="B56" s="31" t="str">
        <x:v>Roma Office Sharing · sito attuale</x:v>
      </x:c>
      <x:c r="C56" s="31" t="str">
        <x:v>https://www.romaofficesharing.it/</x:v>
      </x:c>
      <x:c r="D56" s="61" t="d">
        <x:v>2026-10-01T12:00:00.000Z</x:v>
      </x:c>
    </x:row>
    <x:row r="57" ht="32" customHeight="1">
      <x:c r="A57" s="31" t="str">
        <x:v>ob</x:v>
      </x:c>
      <x:c r="B57" s="31" t="str">
        <x:v>Office Club · indirizzo Milano</x:v>
      </x:c>
      <x:c r="C57" s="31" t="str">
        <x:v>https://www.officeclub.com/en/business-address/milan</x:v>
      </x:c>
      <x:c r="D57" s="61" t="d">
        <x:v>2026-10-01T12:00:00.000Z</x:v>
      </x:c>
    </x:row>
    <x:row r="58" ht="32" customHeight="1">
      <x:c r="A58" s="31" t="str">
        <x:v>ov</x:v>
      </x:c>
      <x:c r="B58" s="31" t="str">
        <x:v>Office Club · virtual office Milano</x:v>
      </x:c>
      <x:c r="C58" s="31" t="str">
        <x:v>https://www.officeclub.com/en/virtual-office/milan</x:v>
      </x:c>
      <x:c r="D58" s="61" t="d">
        <x:v>2026-10-01T12:00:00.000Z</x:v>
      </x:c>
    </x:row>
    <x:row r="59" ht="32" customHeight="1">
      <x:c r="A59" s="31" t="str">
        <x:v>so</x:v>
      </x:c>
      <x:c r="B59" s="31" t="str">
        <x:v>Satellite Office · Milano</x:v>
      </x:c>
      <x:c r="C59" s="31" t="str">
        <x:v>https://www.satellite-office.com/it-it/virtual-office/milano/</x:v>
      </x:c>
      <x:c r="D59" s="61" t="d">
        <x:v>2026-10-01T12:00:00.000Z</x:v>
      </x:c>
    </x:row>
    <x:row r="60" ht="32" customHeight="1">
      <x:c r="A60" s="31" t="str">
        <x:v>ut</x:v>
      </x:c>
      <x:c r="B60" s="31" t="str">
        <x:v>Ufficio Temporaneo · rete e contatti</x:v>
      </x:c>
      <x:c r="C60" s="31" t="str">
        <x:v>https://ufficiotemporaneo.com/english-version/virtual-office-milan/</x:v>
      </x:c>
      <x:c r="D60" s="61" t="d">
        <x:v>2026-10-01T12:00:00.000Z</x:v>
      </x:c>
    </x:row>
    <x:row r="61" ht="32" customHeight="1">
      <x:c r="A61" s="31" t="str">
        <x:v>fz</x:v>
      </x:c>
      <x:c r="B61" s="31" t="str">
        <x:v>Fiscozen · commercialisti partner</x:v>
      </x:c>
      <x:c r="C61" s="31" t="str">
        <x:v>https://www.fiscozen.it/commercialisti-partner/</x:v>
      </x:c>
      <x:c r="D61" s="61" t="d">
        <x:v>2026-10-01T12:00:00.000Z</x:v>
      </x:c>
    </x:row>
    <x:row r="62" ht="32" customHeight="1">
      <x:c r="A62" s="31" t="str">
        <x:v>ff</x:v>
      </x:c>
      <x:c r="B62" s="31" t="str">
        <x:v>Fiscozen · FAQ</x:v>
      </x:c>
      <x:c r="C62" s="31" t="str">
        <x:v>https://www.fiscozen.it/faq</x:v>
      </x:c>
      <x:c r="D62" s="61" t="d">
        <x:v>2026-10-01T12:00:00.000Z</x:v>
      </x:c>
    </x:row>
    <x:row r="63" ht="32" customHeight="1">
      <x:c r="A63" s="31" t="str">
        <x:v>fc</x:v>
      </x:c>
      <x:c r="B63" s="31" t="str">
        <x:v>Fatture in Cloud · commercialista connesso</x:v>
      </x:c>
      <x:c r="C63" s="31" t="str">
        <x:v>https://www.fattureincloud.it/software-fatturazione/commercialista-connesso/</x:v>
      </x:c>
      <x:c r="D63" s="61" t="d">
        <x:v>2026-10-01T12:00:00.000Z</x:v>
      </x:c>
    </x:row>
    <x:row r="64" ht="32" customHeight="1">
      <x:c r="A64" s="31" t="str">
        <x:v>qo</x:v>
      </x:c>
      <x:c r="B64" s="31" t="str">
        <x:v>Qonto · costituzione Italia</x:v>
      </x:c>
      <x:c r="C64" s="31" t="str">
        <x:v>https://qonto.com/it/pricing/creation</x:v>
      </x:c>
      <x:c r="D64" s="61" t="d">
        <x:v>2026-10-01T12:00:00.000Z</x:v>
      </x:c>
    </x:row>
    <x:row r="65" ht="32" customHeight="1">
      <x:c r="A65" s="31" t="str">
        <x:v>lp</x:v>
      </x:c>
      <x:c r="B65" s="31" t="str">
        <x:v>LegalPlace · prezzi</x:v>
      </x:c>
      <x:c r="C65" s="31" t="str">
        <x:v>https://www.legalplace.fr/tarifs</x:v>
      </x:c>
      <x:c r="D65" s="61" t="d">
        <x:v>2026-10-01T12:00:00.000Z</x:v>
      </x:c>
    </x:row>
    <x:row r="66" ht="32" customHeight="1">
      <x:c r="A66" s="31" t="str">
        <x:v>ltp</x:v>
      </x:c>
      <x:c r="B66" s="31" t="str">
        <x:v>LegalPlace · condizioni</x:v>
      </x:c>
      <x:c r="C66" s="31" t="str">
        <x:v>https://www.legalplace.fr/conditions-generales/</x:v>
      </x:c>
      <x:c r="D66" s="61" t="d">
        <x:v>2026-10-01T12:00:00.000Z</x:v>
      </x:c>
    </x:row>
    <x:row r="67" ht="32" customHeight="1">
      <x:c r="A67" s="31" t="str">
        <x:v>dg</x:v>
      </x:c>
      <x:c r="B67" s="31" t="str">
        <x:v>Digidom · indirizzi</x:v>
      </x:c>
      <x:c r="C67" s="31" t="str">
        <x:v>https://www.digidom.pro/nos-adresses/domiciliation-entreprise</x:v>
      </x:c>
      <x:c r="D67" s="61" t="d">
        <x:v>2026-10-01T12:00:00.000Z</x:v>
      </x:c>
    </x:row>
    <x:row r="68" ht="32" customHeight="1">
      <x:c r="A68" s="31" t="str">
        <x:v>do</x:v>
      </x:c>
      <x:c r="B68" s="31" t="str">
        <x:v>DOMiCiLi · directory e fornitori</x:v>
      </x:c>
      <x:c r="C68" s="31" t="str">
        <x:v>https://www.domicili.fr/</x:v>
      </x:c>
      <x:c r="D68" s="61" t="d">
        <x:v>2026-10-01T12:00:00.000Z</x:v>
      </x:c>
    </x:row>
    <x:row r="69" ht="32" customHeight="1">
      <x:c r="A69" s="31" t="str">
        <x:v>at</x:v>
      </x:c>
      <x:c r="B69" s="31" t="str">
        <x:v>Àtic Group · prezzi Barcelona/Mataró</x:v>
      </x:c>
      <x:c r="C69" s="31" t="str">
        <x:v>https://aticgroup.es/oficina-virtual/</x:v>
      </x:c>
      <x:c r="D69" s="61" t="d">
        <x:v>2026-10-01T12:00:00.000Z</x:v>
      </x:c>
    </x:row>
    <x:row r="70" ht="32" customHeight="1">
      <x:c r="A70" s="31" t="str">
        <x:v>pr</x:v>
      </x:c>
      <x:c r="B70" s="31" t="str">
        <x:v>PriOffice · tariffe</x:v>
      </x:c>
      <x:c r="C70" s="31" t="str">
        <x:v>https://www.prioffice.eu/tarieven/</x:v>
      </x:c>
      <x:c r="D70" s="61" t="d">
        <x:v>2026-10-01T12:00:00.000Z</x:v>
      </x:c>
    </x:row>
    <x:row r="71" ht="32" customHeight="1">
      <x:c r="A71" s="31" t="str">
        <x:v>of</x:v>
      </x:c>
      <x:c r="B71" s="31" t="str">
        <x:v>1Office · gruppo</x:v>
      </x:c>
      <x:c r="C71" s="31" t="str">
        <x:v>https://1office.co/</x:v>
      </x:c>
      <x:c r="D71" s="61" t="d">
        <x:v>2026-10-01T12:00:00.000Z</x:v>
      </x:c>
    </x:row>
    <x:row r="72" ht="32" customHeight="1">
      <x:c r="A72" s="31" t="str">
        <x:v>xo</x:v>
      </x:c>
      <x:c r="B72" s="31" t="str">
        <x:v>Xolo · legal address e servizi</x:v>
      </x:c>
      <x:c r="C72" s="31" t="str">
        <x:v>https://www.xolo.io/zz-en/faq/search?product=all&amp;term=xolo+company</x:v>
      </x:c>
      <x:c r="D72" s="61" t="d">
        <x:v>2026-10-01T12:00:00.000Z</x:v>
      </x:c>
    </x:row>
    <x:row r="73" ht="34" customHeight="1">
      <x:c r="A73" s="31" t="str">
        <x:v>en</x:v>
      </x:c>
      <x:c r="B73" s="31" t="str">
        <x:v>e-Residency · marketplace e uso</x:v>
      </x:c>
      <x:c r="C73" s="31" t="str">
        <x:v>https://learn.e-resident.gov.ee/hc/en-gb/articles/25502557665809-e-Residency-Marketplace-what-is-it-and-how-to-use-it</x:v>
      </x:c>
      <x:c r="D73" s="61" t="d">
        <x:v>2026-10-01T12:00:00.000Z</x:v>
      </x:c>
    </x:row>
    <x:row r="74" ht="34" customHeight="1">
      <x:c r="A74" s="31" t="str">
        <x:v>ec</x:v>
      </x:c>
      <x:c r="B74" s="31" t="str">
        <x:v>e-Residency · scelta del provider</x:v>
      </x:c>
      <x:c r="C74" s="31" t="str">
        <x:v>https://www.e-resident.gov.ee/et/blog/posts/how-to-choose-a-service-provider-from-the-e-residency-marketplace/</x:v>
      </x:c>
      <x:c r="D74" s="61" t="d">
        <x:v>2026-10-01T12:00:00.000Z</x:v>
      </x:c>
    </x:row>
    <x:row r="75" ht="32" customHeight="1">
      <x:c r="A75" s="31" t="str">
        <x:v>eg</x:v>
      </x:c>
      <x:c r="B75" s="31" t="str">
        <x:v>Entreprendre.ch · Genève</x:v>
      </x:c>
      <x:c r="C75" s="31" t="str">
        <x:v>https://entreprendre.ch/services-entreprises/domiciliation-geneve/</x:v>
      </x:c>
      <x:c r="D75" s="61" t="d">
        <x:v>2026-10-01T12:00:00.000Z</x:v>
      </x:c>
    </x:row>
    <x:row r="76" ht="34" customHeight="1">
      <x:c r="A76" s="31" t="str">
        <x:v>ri</x:v>
      </x:c>
      <x:c r="B76" s="31" t="str">
        <x:v>RISTER · domiciliazione</x:v>
      </x:c>
      <x:c r="C76" s="31" t="str">
        <x:v>https://www.rister.ch/en/service/company-domiciliation-registered-address-switzerland-geneva/</x:v>
      </x:c>
      <x:c r="D76" s="61" t="d">
        <x:v>2026-10-01T12:00:00.000Z</x:v>
      </x:c>
    </x:row>
    <x:row r="77" ht="32" customHeight="1">
      <x:c r="A77" s="31" t="str">
        <x:v>po</x:v>
      </x:c>
      <x:c r="B77" s="31" t="str">
        <x:v>ONE PLUS · virtual office</x:v>
      </x:c>
      <x:c r="C77" s="31" t="str">
        <x:v>https://www.one-plus.pl/en/services/virtual-office-en/</x:v>
      </x:c>
      <x:c r="D77" s="61" t="d">
        <x:v>2026-10-01T12:00:00.000Z</x:v>
      </x:c>
    </x:row>
    <x:row r="78" ht="32" customHeight="1">
      <x:c r="A78" s="31" t="str">
        <x:v>pl</x:v>
      </x:c>
      <x:c r="B78" s="31" t="str">
        <x:v>ONE PLUS · prezzi in polacco</x:v>
      </x:c>
      <x:c r="C78" s="31" t="str">
        <x:v>https://www.one-plus.pl/services/virtual-office-pl/</x:v>
      </x:c>
      <x:c r="D78" s="61" t="d">
        <x:v>2026-10-01T12:00:00.000Z</x:v>
      </x:c>
    </x:row>
    <x:row r="79" ht="32" customHeight="1">
      <x:c r="A79" s="31" t="str">
        <x:v>fo</x:v>
      </x:c>
      <x:c r="B79" s="31" t="str">
        <x:v>1st Formations · prezzi</x:v>
      </x:c>
      <x:c r="C79" s="31" t="str">
        <x:v>https://www.1stformations.co.uk/pricing/</x:v>
      </x:c>
      <x:c r="D79" s="61" t="d">
        <x:v>2026-10-01T12:00:00.000Z</x:v>
      </x:c>
    </x:row>
    <x:row r="80" ht="32" customHeight="1">
      <x:c r="A80" s="31" t="str">
        <x:v>fa</x:v>
      </x:c>
      <x:c r="B80" s="31" t="str">
        <x:v>1st Formations · servizi indirizzo</x:v>
      </x:c>
      <x:c r="C80" s="31" t="str">
        <x:v>https://help.1stformations.co.uk/address-services-mail/address-services</x:v>
      </x:c>
      <x:c r="D80" s="61" t="d">
        <x:v>2026-10-01T12:00:00.000Z</x:v>
      </x:c>
    </x:row>
    <x:row r="81" ht="32" customHeight="1">
      <x:c r="A81" s="31" t="str">
        <x:v>ai</x:v>
      </x:c>
      <x:c r="B81" s="31" t="str">
        <x:v>Anytime Mailbox · fornitori</x:v>
      </x:c>
      <x:c r="C81" s="31" t="str">
        <x:v>https://www.anytimemailbox.com/mail-center</x:v>
      </x:c>
      <x:c r="D81" s="61" t="d">
        <x:v>2026-10-01T12:00:00.000Z</x:v>
      </x:c>
    </x:row>
    <x:row r="82" ht="32" customHeight="1">
      <x:c r="A82" s="31" t="str">
        <x:v>ac</x:v>
      </x:c>
      <x:c r="B82" s="31" t="str">
        <x:v>Anytime Mailbox · caso coworking</x:v>
      </x:c>
      <x:c r="C82" s="31" t="str">
        <x:v>https://www.anytimemailbox.com/digital-mail/shared-workspace-operator-case-study</x:v>
      </x:c>
      <x:c r="D82" s="61" t="d">
        <x:v>2026-10-01T12:00:00.000Z</x:v>
      </x:c>
    </x:row>
    <x:row r="83" ht="32" customHeight="1">
      <x:c r="A83" s="31" t="str">
        <x:v>ip</x:v>
      </x:c>
      <x:c r="B83" s="31" t="str">
        <x:v>iPostal1 · rete</x:v>
      </x:c>
      <x:c r="C83" s="31" t="str">
        <x:v>https://ipostal1.com/location</x:v>
      </x:c>
      <x:c r="D83" s="61" t="d">
        <x:v>2026-10-01T12:00:00.000Z</x:v>
      </x:c>
    </x:row>
    <x:row r="84" ht="32" customHeight="1">
      <x:c r="A84" s="31" t="str">
        <x:v>is</x:v>
      </x:c>
      <x:c r="B84" s="31" t="str">
        <x:v>iPostal1 · software operatori</x:v>
      </x:c>
      <x:c r="C84" s="31" t="str">
        <x:v>https://ipostal1.com/mailroom-management-software.php</x:v>
      </x:c>
      <x:c r="D84" s="61" t="d">
        <x:v>2026-10-01T12:00:00.000Z</x:v>
      </x:c>
    </x:row>
    <x:row r="85" ht="32" customHeight="1">
      <x:c r="A85" s="31" t="str">
        <x:v>im</x:v>
      </x:c>
      <x:c r="B85" s="31" t="str">
        <x:v>iPostal1 · mailbox pricing</x:v>
      </x:c>
      <x:c r="C85" s="31" t="str">
        <x:v>https://ipostal1.com/mailbox-rental.php</x:v>
      </x:c>
      <x:c r="D85" s="61" t="d">
        <x:v>2026-10-01T12:00:00.000Z</x:v>
      </x:c>
    </x:row>
    <x:row r="86" ht="32" customHeight="1">
      <x:c r="A86" s="31" t="str">
        <x:v>it</x:v>
      </x:c>
      <x:c r="B86" s="31" t="str">
        <x:v>iPostal1 · termini pubblici 2024</x:v>
      </x:c>
      <x:c r="C86" s="31" t="str">
        <x:v>https://ipostal1.com/terms_2024-05-05.pdf</x:v>
      </x:c>
      <x:c r="D86" s="61" t="d">
        <x:v>2026-10-01T12:00:00.000Z</x:v>
      </x:c>
    </x:row>
    <x:row r="87" ht="32" customHeight="1">
      <x:c r="A87" s="31" t="str">
        <x:v>dv</x:v>
      </x:c>
      <x:c r="B87" s="31" t="str">
        <x:v>Davinci · partner</x:v>
      </x:c>
      <x:c r="C87" s="31" t="str">
        <x:v>https://www.davincivirtual.com/davinci-preferred-partner-network</x:v>
      </x:c>
      <x:c r="D87" s="61" t="d">
        <x:v>2026-10-01T12:00:00.000Z</x:v>
      </x:c>
    </x:row>
    <x:row r="88" ht="32" customHeight="1">
      <x:c r="A88" s="31" t="str">
        <x:v>dp</x:v>
      </x:c>
      <x:c r="B88" s="31" t="str">
        <x:v>Davinci · location e prezzi</x:v>
      </x:c>
      <x:c r="C88" s="31" t="str">
        <x:v>https://www.davincivirtual.com/loc/</x:v>
      </x:c>
      <x:c r="D88" s="61" t="d">
        <x:v>2026-10-01T12:00:00.000Z</x:v>
      </x:c>
    </x:row>
    <x:row r="89" ht="32" customHeight="1">
      <x:c r="A89" s="31" t="str">
        <x:v>di</x:v>
      </x:c>
      <x:c r="B89" s="31" t="str">
        <x:v>Davinci · Milano</x:v>
      </x:c>
      <x:c r="C89" s="31" t="str">
        <x:v>https://www.davincivirtual.com/loc/italy/milan-virtual-offices/</x:v>
      </x:c>
      <x:c r="D89" s="61" t="d">
        <x:v>2026-10-01T12:00:00.000Z</x:v>
      </x:c>
    </x:row>
    <x:row r="90" ht="32" customHeight="1">
      <x:c r="A90" s="31" t="str">
        <x:v>av</x:v>
      </x:c>
      <x:c r="B90" s="31" t="str">
        <x:v>Alliance Virtual Offices · fornitori</x:v>
      </x:c>
      <x:c r="C90" s="31" t="str">
        <x:v>https://centers.alliancevirtualoffices.com/</x:v>
      </x:c>
      <x:c r="D90" s="61" t="d">
        <x:v>2026-10-01T12:00:00.000Z</x:v>
      </x:c>
    </x:row>
    <x:row r="91" ht="34" customHeight="1">
      <x:c r="A91" s="31" t="str">
        <x:v>ag</x:v>
      </x:c>
      <x:c r="B91" s="31" t="str">
        <x:v>Alliance · guida onboarding</x:v>
      </x:c>
      <x:c r="C91" s="31" t="str">
        <x:v>https://www.alliancevirtualoffices.com/Alliance-Virtual-Offices-Onboarding-Guide.pdf</x:v>
      </x:c>
      <x:c r="D91" s="61" t="d">
        <x:v>2026-10-01T12:00:00.000Z</x:v>
      </x:c>
    </x:row>
    <x:row r="92" ht="32" customHeight="1">
      <x:c r="A92" s="31" t="str">
        <x:v>cr</x:v>
      </x:c>
      <x:c r="B92" s="31" t="str">
        <x:v>Coworker · virtual offices</x:v>
      </x:c>
      <x:c r="C92" s="31" t="str">
        <x:v>https://www.coworker.com/virtual-offices</x:v>
      </x:c>
      <x:c r="D92" s="61" t="d">
        <x:v>2026-10-01T12:00:00.000Z</x:v>
      </x:c>
    </x:row>
    <x:row r="93" ht="32" customHeight="1">
      <x:c r="A93" s="31" t="str">
        <x:v>cy</x:v>
      </x:c>
      <x:c r="B93" s="31" t="str">
        <x:v>Coworker · API</x:v>
      </x:c>
      <x:c r="C93" s="31" t="str">
        <x:v>https://www.coworker.com/coworker-api</x:v>
      </x:c>
      <x:c r="D93" s="61" t="d">
        <x:v>2026-10-01T12:00:00.000Z</x:v>
      </x:c>
    </x:row>
    <x:row r="94" ht="32" customHeight="1">
      <x:c r="A94" s="31" t="str">
        <x:v>il</x:v>
      </x:c>
      <x:c r="B94" s="31" t="str">
        <x:v>Instant Offices · list with us</x:v>
      </x:c>
      <x:c r="C94" s="31" t="str">
        <x:v>https://www.instantoffices.com/en/list-with-us</x:v>
      </x:c>
      <x:c r="D94" s="61" t="d">
        <x:v>2026-10-01T12:00:00.000Z</x:v>
      </x:c>
    </x:row>
    <x:row r="95" ht="32" customHeight="1">
      <x:c r="A95" s="31" t="str">
        <x:v>iv</x:v>
      </x:c>
      <x:c r="B95" s="31" t="str">
        <x:v>Instant Offices · virtual office Milano</x:v>
      </x:c>
      <x:c r="C95" s="31" t="str">
        <x:v>https://www.instantoffices.com/en/it/office-space/virtual-office/milan</x:v>
      </x:c>
      <x:c r="D95" s="61" t="d">
        <x:v>2026-10-01T12:00:00.000Z</x:v>
      </x:c>
    </x:row>
    <x:row r="96" ht="34" customHeight="1">
      <x:c r="A96" s="31" t="str">
        <x:v>ps</x:v>
      </x:c>
      <x:c r="B96" s="31" t="str">
        <x:v>Poste Spazi per l’Italia · regolamento</x:v>
      </x:c>
      <x:c r="C96" s="31" t="str">
        <x:v>https://www.spaziperlitalia.poste.it/wp-content/uploads/sites/9/2024/09/Spazi-perlItalia_Regolamento-Interno-Generale.pdf</x:v>
      </x:c>
      <x:c r="D96" s="61" t="d">
        <x:v>2026-10-01T12:00:00.000Z</x:v>
      </x:c>
    </x:row>
    <x:row r="97" ht="32" customHeight="1">
      <x:c r="A97" s="31" t="str">
        <x:v>vl</x:v>
      </x:c>
      <x:c r="B97" s="31" t="str">
        <x:v>VALO Hotel &amp; Work · virtual office</x:v>
      </x:c>
      <x:c r="C97" s="31" t="str">
        <x:v>https://valo.fi/en/valo-room-type/virtual-office/</x:v>
      </x:c>
      <x:c r="D97" s="61" t="d">
        <x:v>2026-10-01T12:00:00.000Z</x:v>
      </x:c>
    </x:row>
    <x:row r="98" ht="34" customHeight="1">
      <x:c r="A98" s="31" t="str">
        <x:v>ts</x:v>
      </x:c>
      <x:c r="B98" s="31" t="str">
        <x:v>The Social Hub Toulouse · regole</x:v>
      </x:c>
      <x:c r="C98" s="31" t="str">
        <x:v>https://www.thesocialhub.co/4a1ebd/globalassets/09.-downloads--video/downloads/house-rules/tsh-houserules_toulouse_en_final.pdf</x:v>
      </x:c>
      <x:c r="D98" s="61" t="d">
        <x:v>2026-10-01T12:00:00.000Z</x:v>
      </x:c>
    </x:row>
    <x:row r="99" ht="32" customHeight="1">
      <x:c r="A99" s="31" t="str">
        <x:v>hd</x:v>
      </x:c>
      <x:c r="B99" s="31" t="str">
        <x:v>Sentinel · The H Hotel, Dubai</x:v>
      </x:c>
      <x:c r="C99" s="31" t="str">
        <x:v>https://sentineldubai.com/the-h-hotel/</x:v>
      </x:c>
      <x:c r="D99" s="61" t="d">
        <x:v>2026-10-01T12:00:00.000Z</x:v>
      </x:c>
    </x:row>
    <x:row r="100" ht="32" customHeight="1">
      <x:c r="A100" s="31" t="str">
        <x:v>ix</x:v>
      </x:c>
      <x:c r="B100" s="31" t="str">
        <x:v>ADA Sharedsphere · Ixora Hotel, Penang</x:v>
      </x:c>
      <x:c r="C100" s="31" t="str">
        <x:v>https://ada2u.com/ixora-hotel/</x:v>
      </x:c>
      <x:c r="D100" s="61" t="d">
        <x:v>2026-10-01T12:00:00.000Z</x:v>
      </x:c>
    </x:row>
    <x:row r="101" ht="34" customHeight="1">
      <x:c r="A101" s="31" t="str">
        <x:v>law1</x:v>
      </x:c>
      <x:c r="B101" s="31" t="str">
        <x:v>D.lgs. 231/2007 · definizioni, testo consolidato consultato</x:v>
      </x:c>
      <x:c r="C101" s="31" t="str">
        <x:v>https://www.normattiva.it/eli/id/2007/12/14/007X0246/CONSOLIDATED/20230206</x:v>
      </x:c>
      <x:c r="D101" s="61" t="d">
        <x:v>2026-10-01T12:00:00.000Z</x:v>
      </x:c>
    </x:row>
    <x:row r="102" ht="60" customHeight="1">
      <x:c r="A102" s="31" t="str">
        <x:v>law3</x:v>
      </x:c>
      <x:c r="B102" s="31" t="str">
        <x:v>D.lgs. 231/2007 · art. 3, banca dati MEF</x:v>
      </x:c>
      <x:c r="C102" s="31" t="str">
        <x:v>https://def.giustiziatributaria.gov.it/DocTribFrontend/executePrintArticolo.do?articolo=Articolo+3&amp;codiceOrdinamento=0000000000000030000000000000000000000000000000000000000000000000000000000000000000000000000000000000000000000000000000000000000000&amp;id=%7BC34AE818-6744-412E-83D3-F5BA751A4010%7D</x:v>
      </x:c>
      <x:c r="D102" s="61" t="d">
        <x:v>2026-10-01T12:00:00.000Z</x:v>
      </x:c>
    </x:row>
    <x:row r="103" ht="34" customHeight="1">
      <x:c r="A103" s="31" t="str">
        <x:v>uif</x:v>
      </x:c>
      <x:c r="B103" s="31" t="str">
        <x:v>UIF · modifica perimetro TCSP nel 2023</x:v>
      </x:c>
      <x:c r="C103" s="31" t="str">
        <x:v>https://uif.bancaditalia.it/pubblicazioni/rapporto-annuale/2024/Rapporto-UIF-anno-2023.pdf</x:v>
      </x:c>
      <x:c r="D103" s="61" t="d">
        <x:v>2026-10-01T12:00:00.000Z</x:v>
      </x:c>
    </x:row>
    <x:row r="104" ht="34" customHeight="1">
      <x:c r="A104" s="31" t="str">
        <x:v>ui</x:v>
      </x:c>
      <x:c r="B104" s="31" t="str">
        <x:v>UIF · ordinamento italiano</x:v>
      </x:c>
      <x:c r="C104" s="31" t="str">
        <x:v>https://uif.bancaditalia.it/sistema-antiriciclaggio/ordinamento-italiano/index.html</x:v>
      </x:c>
      <x:c r="D104" s="61" t="d">
        <x:v>2026-10-01T12:00:00.000Z</x:v>
      </x:c>
    </x:row>
    <x:row r="105" ht="34" customHeight="1">
      <x:c r="A105" s="31" t="str">
        <x:v>eth</x:v>
      </x:c>
      <x:c r="B105" s="31" t="str">
        <x:v>CNDCEC · codice modificato 20 novembre 2025</x:v>
      </x:c>
      <x:c r="C105" s="31" t="str">
        <x:v>https://commercialisti.it/wp-content/uploads/2025/12/Codice-Deontologico_modifiche-2025_def.pdf</x:v>
      </x:c>
      <x:c r="D105" s="61" t="d">
        <x:v>2026-10-01T12:00:00.000Z</x:v>
      </x:c>
    </x:row>
    <x:row r="106" ht="34" customHeight="1">
      <x:c r="A106" s="31" t="str">
        <x:v>inc</x:v>
      </x:c>
      <x:c r="B106" s="31" t="str">
        <x:v>D.lgs. 139/2005 · incompatibilità art. 4</x:v>
      </x:c>
      <x:c r="C106" s="31" t="str">
        <x:v>https://www.normattiva.it/uri-res/N2Ls?urn:nir:stato:decreto.legislativo:2005;139~art4=</x:v>
      </x:c>
      <x:c r="D106" s="61" t="d">
        <x:v>2026-10-01T12:00:00.000Z</x:v>
      </x:c>
    </x:row>
    <x:row r="107" ht="34" customHeight="1">
      <x:c r="A107" s="31" t="str">
        <x:v>aml</x:v>
      </x:c>
      <x:c r="B107" s="31" t="str">
        <x:v>CNDCEC · regole tecniche antiriciclaggio</x:v>
      </x:c>
      <x:c r="C107" s="31" t="str">
        <x:v>https://commercialisti.it/norme-per-la-professione/norme-tecniche/antiriciclaggio/</x:v>
      </x:c>
      <x:c r="D107" s="61" t="d">
        <x:v>2026-10-01T12:00:00.000Z</x:v>
      </x:c>
    </x:row>
    <x:row r="108" ht="32" customHeight="1">
      <x:c r="A108" s="31" t="str">
        <x:v>gd</x:v>
      </x:c>
      <x:c r="B108" s="31" t="str">
        <x:v>Garante · responsabile del trattamento</x:v>
      </x:c>
      <x:c r="C108" s="31" t="str">
        <x:v>https://www.garanteprivacy.it/responsabile-del-trattamento</x:v>
      </x:c>
      <x:c r="D108" s="61" t="d">
        <x:v>2026-10-01T12:00:00.000Z</x:v>
      </x:c>
    </x:row>
    <x:row r="109" ht="32" customHeight="1">
      <x:c r="A109" s="31" t="str">
        <x:v>eu</x:v>
      </x:c>
      <x:c r="B109" s="31" t="str">
        <x:v>Regolamento UE 2024/1624</x:v>
      </x:c>
      <x:c r="C109" s="31" t="str">
        <x:v>https://eur-lex.europa.eu/eli/reg/2024/1624/oj/eng</x:v>
      </x:c>
      <x:c r="D109" s="61" t="d">
        <x:v>2026-10-01T12:00:00.000Z</x:v>
      </x:c>
    </x:row>
    <x:row r="110" ht="32" customHeight="1">
      <x:c r="A110" s="31" t="str">
        <x:v>fr</x:v>
      </x:c>
      <x:c r="B110" s="31" t="str">
        <x:v>Service Public · domiciliation e agrément</x:v>
      </x:c>
      <x:c r="C110" s="31" t="str">
        <x:v>https://entreprendre.service-public.gouv.fr/vosdroits/F2160</x:v>
      </x:c>
      <x:c r="D110" s="61" t="d">
        <x:v>2026-10-01T12:00:00.000Z</x:v>
      </x:c>
    </x:row>
    <x:row r="111" ht="34" customHeight="1">
      <x:c r="A111" s="31" t="str">
        <x:v>uk</x:v>
      </x:c>
      <x:c r="B111" s="31" t="str">
        <x:v>HMRC · TCSP e supervisione AML</x:v>
      </x:c>
      <x:c r="C111" s="31" t="str">
        <x:v>https://www.gov.uk/guidance/check-if-you-need-to-register-for-money-laundering-supervision-if-youre-a-trust-or-company-service-provider</x:v>
      </x:c>
      <x:c r="D111" s="61" t="d">
        <x:v>2026-10-01T12:00:00.000Z</x:v>
      </x:c>
    </x:row>
    <x:row r="112" ht="34" customHeight="1">
      <x:c r="A112" s="31" t="str">
        <x:v>ua</x:v>
      </x:c>
      <x:c r="B112" s="31" t="str">
        <x:v>Companies House · appropriate address</x:v>
      </x:c>
      <x:c r="C112" s="31" t="str">
        <x:v>https://www.gov.uk/government/publications/incorporation-and-names/incorporation-and-names</x:v>
      </x:c>
      <x:c r="D112" s="61" t="d">
        <x:v>2026-10-01T12:00:00.000Z</x:v>
      </x:c>
    </x:row>
    <x:row r="113" ht="34" customHeight="1">
      <x:c r="A113" s="31" t="str">
        <x:v>uv</x:v>
      </x:c>
      <x:c r="B113" s="31" t="str">
        <x:v>Companies House · identity verification dal 18/11/2025</x:v>
      </x:c>
      <x:c r="C113" s="31" t="str">
        <x:v>https://www.gov.uk/government/news/companies-house-confirms-identity-verification-rollout-from-18-november-2025</x:v>
      </x:c>
      <x:c r="D113" s="61" t="d">
        <x:v>2026-10-01T12:00:00.000Z</x:v>
      </x:c>
    </x:row>
    <x:row r="114" ht="32" customHeight="1">
      <x:c r="A114" s="31" t="str">
        <x:v>nl</x:v>
      </x:c>
      <x:c r="B114" s="31" t="str">
        <x:v>KVK · registrazione e indirizzo</x:v>
      </x:c>
      <x:c r="C114" s="31" t="str">
        <x:v>https://www.kvk.nl/en/help-and-contact/help-with-registration/</x:v>
      </x:c>
      <x:c r="D114" s="61" t="d">
        <x:v>2026-10-01T12:00:00.000Z</x:v>
      </x:c>
    </x:row>
    <x:row r="115" ht="32" customHeight="1">
      <x:c r="A115" s="31" t="str">
        <x:v>sw</x:v>
      </x:c>
      <x:c r="B115" s="31" t="str">
        <x:v>PMI Svizzera · sede e indirizzo</x:v>
      </x:c>
      <x:c r="C115" s="31" t="str">
        <x:v>https://www.kmu.admin.ch/it/modificare-la-sede-o-lindirizzo-di-unimpresa</x:v>
      </x:c>
      <x:c r="D115" s="61" t="d">
        <x:v>2026-10-01T12:00:00.000Z</x:v>
      </x:c>
    </x:row>
    <x:row r="116" ht="32" customHeight="1">
      <x:c r="A116" s="31" t="str">
        <x:v>gb</x:v>
      </x:c>
      <x:c r="B116" s="31" t="str">
        <x:v>Google · idoneità Business Profile</x:v>
      </x:c>
      <x:c r="C116" s="31" t="str">
        <x:v>https://support.google.com/business/answer/3038177?no_head=1</x:v>
      </x:c>
      <x:c r="D116" s="61" t="d">
        <x:v>2026-10-01T12:00:00.000Z</x:v>
      </x:c>
    </x:row>
    <x:row r="117" ht="32" customHeight="1">
      <x:c r="A117" s="31" t="str">
        <x:v>pay</x:v>
      </x:c>
      <x:c r="B117" s="31" t="str">
        <x:v>Stripe · prezzi Italia</x:v>
      </x:c>
      <x:c r="C117" s="31" t="str">
        <x:v>https://stripe.com/en-it/pricing</x:v>
      </x:c>
      <x:c r="D117" s="61" t="d">
        <x:v>2026-10-01T12:00:00.000Z</x:v>
      </x:c>
    </x:row>
    <x:row r="118" ht="32" customHeight="1">
      <x:c r="A118" s="31" t="str">
        <x:v>inv</x:v>
      </x:c>
      <x:c r="B118" s="31" t="str">
        <x:v>Invest in Italy · costituire una società</x:v>
      </x:c>
      <x:c r="C118" s="31" t="str">
        <x:v>https://www.investinitaly.gov.it/en/doing-business/setting-company</x:v>
      </x:c>
      <x:c r="D118" s="61" t="d">
        <x:v>2026-10-01T12:00:00.000Z</x:v>
      </x:c>
    </x:row>
    <x:row r="119" ht="32" customHeight="1">
      <x:c r="A119" s="31" t="str">
        <x:v>bp_ri</x:v>
      </x:c>
      <x:c r="B119" s="31" t="str">
        <x:v>Registro Imprese: sede e unità locali</x:v>
      </x:c>
      <x:c r="C119" s="31" t="str">
        <x:v>https://www.registroimprese.it/sede-legale-e-unita-locali</x:v>
      </x:c>
      <x:c r="D119" s="61" t="d">
        <x:v>2026-10-01T12:00:00.000Z</x:v>
      </x:c>
    </x:row>
    <x:row r="120" ht="32" customHeight="1">
      <x:c r="A120" s="31" t="str">
        <x:v>bp_cm</x:v>
      </x:c>
      <x:c r="B120" s="31" t="str">
        <x:v>CM Audit STP: contratto Sede Milano</x:v>
      </x:c>
      <x:c r="C120" s="31" t="str">
        <x:v>https://sedemilano.it/hubfs/Contratto%20SEDE%20MILANO%20.pdf?hsLang=en</x:v>
      </x:c>
      <x:c r="D120" s="61" t="d">
        <x:v>2026-10-01T12:00:00.000Z</x:v>
      </x:c>
    </x:row>
    <x:row r="121" ht="32" customHeight="1">
      <x:c r="A121" s="31" t="str">
        <x:v>bp_milan</x:v>
      </x:c>
      <x:c r="B121" s="31" t="str">
        <x:v>Clevver Milano: condizioni pubblicate</x:v>
      </x:c>
      <x:c r="C121" s="31" t="str">
        <x:v>https://www.clevver.io/en/locations/milan</x:v>
      </x:c>
      <x:c r="D121" s="61" t="d">
        <x:v>2026-10-01T12:00:00.000Z</x:v>
      </x:c>
    </x:row>
    <x:row r="122" ht="34" customHeight="1">
      <x:c r="A122" s="31" t="str">
        <x:v>bp_move</x:v>
      </x:c>
      <x:c r="B122" s="31" t="str">
        <x:v>Unioncamere: Movimprese 2025, 23 gennaio 2026</x:v>
      </x:c>
      <x:c r="C122" s="31" t="str">
        <x:v>https://www.unioncamere.gov.it/comunicazione/comunicati-stampa/imprese-nel-2025-la-crescita-tocca-il-1-saldo-positivo-di-57mila-unita</x:v>
      </x:c>
      <x:c r="D122" s="61" t="d">
        <x:v>2026-10-01T12:00:00.000Z</x:v>
      </x:c>
    </x:row>
    <x:row r="123" ht="34" customHeight="1">
      <x:c r="A123" s="31" t="str">
        <x:v>bp_fisc</x:v>
      </x:c>
      <x:c r="B123" s="31" t="str">
        <x:v>DPR 600/1973 art.58: domicilio fiscale</x:v>
      </x:c>
      <x:c r="C123" s="31" t="str">
        <x:v>https://www.normattiva.it/uri-res/N2Ls?urn%3Anir%3Apresidente.repubblica%3Adecreto%3A1973-09-29%3B600~art58=</x:v>
      </x:c>
      <x:c r="D123" s="61" t="d">
        <x:v>2026-10-01T12:00:00.000Z</x:v>
      </x:c>
    </x:row>
    <x:row r="124" ht="34" customHeight="1">
      <x:c r="A124" s="31" t="str">
        <x:v>bp_52</x:v>
      </x:c>
      <x:c r="B124" s="31" t="str">
        <x:v>DPR 633/1972 art.52, testo riprodotto da Brocardi</x:v>
      </x:c>
      <x:c r="C124" s="31" t="str">
        <x:v>https://www.brocardi.it/testo-unico-iva/titolo-iv/art52.html</x:v>
      </x:c>
      <x:c r="D124" s="61" t="d">
        <x:v>2026-10-01T12:00:00.000Z</x:v>
      </x:c>
    </x:row>
    <x:row r="125" ht="34" customHeight="1">
      <x:c r="A125" s="31" t="str">
        <x:v>bp_2220</x:v>
      </x:c>
      <x:c r="B125" s="31" t="str">
        <x:v>Codice civile art.2220, testo riprodotto da Brocardi</x:v>
      </x:c>
      <x:c r="C125" s="31" t="str">
        <x:v>https://www.brocardi.it/codice-civile/libro-quinto/titolo-ii/capo-iii/sezione-iii/art2220.html</x:v>
      </x:c>
      <x:c r="D125" s="61" t="d">
        <x:v>2026-10-01T12:00:00.000Z</x:v>
      </x:c>
    </x:row>
    <x:row r="126" ht="34" customHeight="1">
      <x:c r="A126" s="31" t="str">
        <x:v>bp_cess</x:v>
      </x:c>
      <x:c r="B126" s="31" t="str">
        <x:v>GU 12 gennaio 2024: D.lgs.1/2024, art.4 e note art.35</x:v>
      </x:c>
      <x:c r="C126" s="31" t="str">
        <x:v>https://www.gazzettaufficiale.it/eli/gu/2024/01/12/9/sg/pdf</x:v>
      </x:c>
      <x:c r="D126" s="61" t="d">
        <x:v>2026-10-01T12:00:00.000Z</x:v>
      </x:c>
    </x:row>
    <x:row r="127" ht="34" customHeight="1">
      <x:c r="A127" s="31" t="str">
        <x:v>bp_cessmod</x:v>
      </x:c>
      <x:c r="B127" s="31" t="str">
        <x:v>Istruzioni Agenzia Entrate: cessazione depositario, copia documento</x:v>
      </x:c>
      <x:c r="C127" s="31" t="str">
        <x:v>https://www.informazionefiscale.it/IMG/pdf/comunicazione_cessazione_depositari_istr.pdf</x:v>
      </x:c>
      <x:c r="D127" s="61" t="d">
        <x:v>2026-10-01T12:00:00.000Z</x:v>
      </x:c>
    </x:row>
    <x:row r="128" ht="34" customHeight="1">
      <x:c r="A128" s="31" t="str">
        <x:v>bp_agid</x:v>
      </x:c>
      <x:c r="B128" s="31" t="str">
        <x:v>AgID: linee guida documento informatico</x:v>
      </x:c>
      <x:c r="C128" s="31" t="str">
        <x:v>https://www.agid.gov.it/sites/agid/files/2024-06/Linee_guida_sul_documento_informatico.pdf</x:v>
      </x:c>
      <x:c r="D128" s="61" t="d">
        <x:v>2026-10-01T12:00:00.000Z</x:v>
      </x:c>
    </x:row>
    <x:row r="129" ht="34" customHeight="1">
      <x:c r="A129" s="31" t="str">
        <x:v>bp_deon</x:v>
      </x:c>
      <x:c r="B129" s="31" t="str">
        <x:v>CNDCEC: codice deontologico modificato 20 novembre 2025</x:v>
      </x:c>
      <x:c r="C129" s="31" t="str">
        <x:v>https://commercialisti.it/wp-content/uploads/2025/12/Codice-Deontologico_modifiche-2025_def.pdf</x:v>
      </x:c>
      <x:c r="D129" s="61" t="d">
        <x:v>2026-10-01T12:00:00.000Z</x:v>
      </x:c>
    </x:row>
    <x:row r="130" ht="60" customHeight="1">
      <x:c r="A130" s="31" t="str">
        <x:v>bp_aml</x:v>
      </x:c>
      <x:c r="B130" s="31" t="str">
        <x:v>MEF: D.lgs.231/2007 art.3 vigente</x:v>
      </x:c>
      <x:c r="C130" s="31" t="str">
        <x:v>https://def.finanze.it/DocTribFrontend/getAttoNormativoDetail.do?ACTION=getArticolo&amp;codiceOrdinamento=0000000000000030000000000000000000000000000000000000000000000000000000000000000000000000000000000000000000000000000000000000000000&amp;id=%7BC34AE818-6744-412E-83D3-F5BA751A4010%7D</x:v>
      </x:c>
      <x:c r="D130" s="61" t="d">
        <x:v>2026-10-01T12:00:00.000Z</x:v>
      </x:c>
    </x:row>
    <x:row r="131" ht="32" customHeight="1">
      <x:c r="A131" s="31" t="str">
        <x:v>bp_amleu</x:v>
      </x:c>
      <x:c r="B131" s="31" t="str">
        <x:v>Regolamento UE 2024/1624</x:v>
      </x:c>
      <x:c r="C131" s="31" t="str">
        <x:v>https://eur-lex.europa.eu/eli/reg/2024/1624/oj/eng</x:v>
      </x:c>
      <x:c r="D131" s="61" t="d">
        <x:v>2026-10-01T12:00:00.000Z</x:v>
      </x:c>
    </x:row>
    <x:row r="132" ht="32" customHeight="1">
      <x:c r="A132" s="31" t="str">
        <x:v>bp_post</x:v>
      </x:c>
      <x:c r="B132" s="31" t="str">
        <x:v>MIMIT: titoli abilitativi postali</x:v>
      </x:c>
      <x:c r="C132" s="31" t="str">
        <x:v>https://www.mimit.gov.it/it/comunicazioni/postale/area-operatori-postali</x:v>
      </x:c>
      <x:c r="D132" s="61" t="d">
        <x:v>2026-10-01T12:00:00.000Z</x:v>
      </x:c>
    </x:row>
    <x:row r="133" ht="32" customHeight="1">
      <x:c r="A133" s="31" t="str">
        <x:v>bp_privacy</x:v>
      </x:c>
      <x:c r="B133" s="31" t="str">
        <x:v>Garante: principi del trattamento</x:v>
      </x:c>
      <x:c r="C133" s="31" t="str">
        <x:v>https://garanteprivacy.it/web/guest/home/principi-fondamentali-del-trattamento</x:v>
      </x:c>
      <x:c r="D133" s="61" t="d">
        <x:v>2026-10-01T12:00:00.000Z</x:v>
      </x:c>
    </x:row>
    <x:row r="134" ht="47" customHeight="1">
      <x:c r="A134" s="31" t="str">
        <x:v>bp_work</x:v>
      </x:c>
      <x:c r="B134" s="31" t="str">
        <x:v>Ministero Lavoro: collaborazioni coordinate e continuative</x:v>
      </x:c>
      <x:c r="C134" s="31" t="str">
        <x:v>https://www.lavoro.gov.it/temi-e-priorita/rapporti-di-lavoro-e-relazioni-industriali/focus-on/disciplina-rapporto-lavoro/pagine/contratto-di-collaborazione-coordinata-e-continuativa</x:v>
      </x:c>
      <x:c r="D134" s="61" t="d">
        <x:v>2026-10-01T12:00:00.000Z</x:v>
      </x:c>
    </x:row>
    <x:row r="135" ht="34" customHeight="1">
      <x:c r="A135" s="31" t="str">
        <x:v>bp_inps</x:v>
      </x:c>
      <x:c r="B135" s="31" t="str">
        <x:v>INPS: messaggio 3359/2019, soci e amministratori</x:v>
      </x:c>
      <x:c r="C135" s="31" t="str">
        <x:v>https://servizi2.inps.it/servizi/Bussola/VisualizzaDoc.aspx?Accessibile=yes&amp;iIDLink=-1&amp;sVirtualURL=%2FMessaggi%2FMessaggio+numero+3359+del+17-09-2019.htm</x:v>
      </x:c>
      <x:c r="D135" s="61" t="d">
        <x:v>2026-10-01T12:00:00.000Z</x:v>
      </x:c>
    </x:row>
    <x:row r="136" ht="34" customHeight="1">
      <x:c r="A136" s="31" t="str">
        <x:v>bp_capital</x:v>
      </x:c>
      <x:c r="B136" s="31" t="str">
        <x:v>Codice civile art.2482-bis, testo riprodotto da Brocardi</x:v>
      </x:c>
      <x:c r="C136" s="31" t="str">
        <x:v>https://www.brocardi.it/codice-civile/libro-quinto/titolo-v/capo-vii/sezione-v/art2482bis.html</x:v>
      </x:c>
      <x:c r="D136" s="61" t="d">
        <x:v>2026-10-01T12:00:00.000Z</x:v>
      </x:c>
    </x:row>
    <x:row r="137" ht="34" customHeight="1">
      <x:c r="A137" s="31" t="str">
        <x:v>bp_capital2</x:v>
      </x:c>
      <x:c r="B137" s="31" t="str">
        <x:v>Codice civile art.2482-ter, testo riprodotto da Brocardi</x:v>
      </x:c>
      <x:c r="C137" s="31" t="str">
        <x:v>https://www.brocardi.it/codice-civile/libro-quinto/titolo-v/capo-vii/sezione-v/art2482ter.html</x:v>
      </x:c>
      <x:c r="D137" s="61" t="d">
        <x:v>2026-10-01T12:00:00.000Z</x:v>
      </x:c>
    </x:row>
    <x:row r="138" ht="32" customHeight="1">
      <x:c r="A138" s="31" t="str">
        <x:v>bp_n8n</x:v>
      </x:c>
      <x:c r="B138" s="31" t="str">
        <x:v>n8n: piani e modalità di hosting</x:v>
      </x:c>
      <x:c r="C138" s="31" t="str">
        <x:v>https://n8n.io/pricing/</x:v>
      </x:c>
      <x:c r="D138" s="61" t="d">
        <x:v>2026-10-01T12:00:00.000Z</x:v>
      </x:c>
    </x:row>
    <x:row r="139" ht="32" customHeight="1">
      <x:c r="A139" s="31" t="str">
        <x:v>bp_ms</x:v>
      </x:c>
      <x:c r="B139" s="31" t="str">
        <x:v>Microsoft AI Builder: document processing</x:v>
      </x:c>
      <x:c r="C139" s="31" t="str">
        <x:v>https://learn.microsoft.com/en-us/ai-builder/form-processing-model-overview</x:v>
      </x:c>
      <x:c r="D139" s="61" t="d">
        <x:v>2026-10-01T12:00:00.000Z</x:v>
      </x:c>
    </x:row>
    <x:row r="140" ht="34" customHeight="1">
      <x:c r="A140" s="31" t="str">
        <x:v>bp_mshuman</x:v>
      </x:c>
      <x:c r="B140" s="31" t="str">
        <x:v>Microsoft: automazione documentale con validazione umana</x:v>
      </x:c>
      <x:c r="C140" s="31" t="str">
        <x:v>https://enablement.microsoft.com/en-gb/intelligent-document-processing/</x:v>
      </x:c>
      <x:c r="D140" s="61" t="d">
        <x:v>2026-10-01T12:00:00.000Z</x:v>
      </x:c>
    </x:row>
    <x:row r="141" ht="34" customHeight="1">
      <x:c r="A141" s="31" t="str">
        <x:v>bp_vhq</x:v>
      </x:c>
      <x:c r="B141" s="31" t="str">
        <x:v>Companies House: Virtual Headquarters Limited 09556484</x:v>
      </x:c>
      <x:c r="C141" s="31" t="str">
        <x:v>https://find-and-update.company-information.service.gov.uk/company/09556484</x:v>
      </x:c>
      <x:c r="D141" s="61" t="d">
        <x:v>2026-10-01T12:00:00.000Z</x:v>
      </x:c>
    </x:row>
    <x:row r="142" ht="34" customHeight="1">
      <x:c r="A142" s="31" t="str">
        <x:v>bp_vhqacc</x:v>
      </x:c>
      <x:c r="B142" s="31" t="str">
        <x:v>Virtual HQ: conti 31 dicembre 2025, deposito 26 agosto 2026, p.2</x:v>
      </x:c>
      <x:c r="C142" s="31" t="str">
        <x:v>https://find-and-update.company-information.service.gov.uk/company/09556484/filing-history/MzU0MTA2MDU1OGFkaXF6a2N4/document?format=pdf&amp;download=0</x:v>
      </x:c>
      <x:c r="D142" s="61" t="d">
        <x:v>2026-10-01T12:00:00.000Z</x:v>
      </x:c>
    </x:row>
    <x:row r="143" ht="34" customHeight="1">
      <x:c r="A143" s="31" t="str">
        <x:v>bp_hox</x:v>
      </x:c>
      <x:c r="B143" s="31" t="str">
        <x:v>Companies House: The Hoxton Mix Limited 07212205</x:v>
      </x:c>
      <x:c r="C143" s="31" t="str">
        <x:v>https://find-and-update.company-information.service.gov.uk/company/07212205</x:v>
      </x:c>
      <x:c r="D143" s="61" t="d">
        <x:v>2026-10-01T12:00:00.000Z</x:v>
      </x:c>
    </x:row>
    <x:row r="144" ht="34" customHeight="1">
      <x:c r="A144" s="31" t="str">
        <x:v>bp_hoxacc</x:v>
      </x:c>
      <x:c r="B144" s="31" t="str">
        <x:v>Hoxton Mix: conti 30 aprile 2025, deposito 11 febbraio 2026, pp.1–3</x:v>
      </x:c>
      <x:c r="C144" s="31" t="str">
        <x:v>https://find-and-update.company-information.service.gov.uk/company/07212205/filing-history/MzUwMzc2NTQ1OWFkaXF6a2N4/document?format=pdf&amp;download=0</x:v>
      </x:c>
      <x:c r="D144" s="61" t="d">
        <x:v>2026-10-01T12:00:00.000Z</x:v>
      </x:c>
    </x:row>
    <x:row r="145" ht="34" customHeight="1">
      <x:c r="A145" s="31" t="str">
        <x:v>bp_sedom</x:v>
      </x:c>
      <x:c r="B145" s="31" t="str">
        <x:v>Annuaire des Entreprises: SeDomicilier SAS 820557254</x:v>
      </x:c>
      <x:c r="C145" s="31" t="str">
        <x:v>https://annuaire-entreprises.data.gouv.fr/entreprise/sedomicilier-sas-820557254</x:v>
      </x:c>
      <x:c r="D145" s="61" t="d">
        <x:v>2026-10-01T12:00:00.000Z</x:v>
      </x:c>
    </x:row>
    <x:row r="146" ht="34" customHeight="1">
      <x:c r="A146" s="31" t="str">
        <x:v>bp_sedfin</x:v>
      </x:c>
      <x:c r="B146" s="31" t="str">
        <x:v>Pappers: dati dei conti SeDomicilier SAS, fonte secondaria</x:v>
      </x:c>
      <x:c r="C146" s="31" t="str">
        <x:v>https://www.pappers.fr/entreprise/sedomicilier-sas-820557254</x:v>
      </x:c>
      <x:c r="D146" s="61" t="d">
        <x:v>2026-10-01T12:00:00.000Z</x:v>
      </x:c>
    </x:row>
    <x:row r="147" ht="34" customHeight="1">
      <x:c r="A147" s="31" t="str">
        <x:v>bp_iwgfin</x:v>
      </x:c>
      <x:c r="B147" s="31" t="str">
        <x:v>IWG: risultati annuali 2025, 3 marzo 2026</x:v>
      </x:c>
      <x:c r="C147" s="31" t="str">
        <x:v>https://investors.iwgplc.com/~/media/Files/I/IWG-IR/reports-and-presentations/2026/iwg-plc-preliminary-results-announcement-2025.pdf</x:v>
      </x:c>
      <x:c r="D147" s="61" t="d">
        <x:v>2026-10-01T12:00:00.000Z</x:v>
      </x:c>
    </x:row>
    <x:row r="148" ht="32" customHeight="1">
      <x:c r="A148" s="31" t="str">
        <x:v>bp_tsfin</x:v>
      </x:c>
      <x:c r="B148" s="31" t="str">
        <x:v>TeamSystem: risultati 2025, 16 aprile 2026</x:v>
      </x:c>
      <x:c r="C148" s="31" t="str">
        <x:v>https://www.teamsystem.com/media/files/1694_CS_TeamSystem_Risultati%202025.pdf</x:v>
      </x:c>
      <x:c r="D148" s="61" t="d">
        <x:v>2026-10-01T12:00:00.000Z</x:v>
      </x:c>
    </x:row>
    <x:row r="149" ht="34" customHeight="1">
      <x:c r="A149" s="31" t="str">
        <x:v>bp_fic</x:v>
      </x:c>
      <x:c r="B149" s="31" t="str">
        <x:v>Fatture in Cloud: storia e incorporazione 2025</x:v>
      </x:c>
      <x:c r="C149" s="31" t="str">
        <x:v>https://www.fattureincloud.it/chi-siamo/</x:v>
      </x:c>
      <x:c r="D149" s="61" t="d">
        <x:v>2026-10-01T12:00:00.000Z</x:v>
      </x:c>
    </x:row>
    <x:row r="150" ht="32" customHeight="1">
      <x:c r="A150" s="31" t="str">
        <x:v>bp_fiscozen</x:v>
      </x:c>
      <x:c r="B150" s="31" t="str">
        <x:v>Fiscozen: chi siamo</x:v>
      </x:c>
      <x:c r="C150" s="31" t="str">
        <x:v>https://www.fiscozen.it/chisiamo/</x:v>
      </x:c>
      <x:c r="D150" s="61" t="d">
        <x:v>2026-10-01T12:00:00.000Z</x:v>
      </x:c>
    </x:row>
    <x:row r="151" ht="32" customHeight="1">
      <x:c r="A151" s="31" t="str">
        <x:v>bp_clev</x:v>
      </x:c>
      <x:c r="B151" s="31" t="str">
        <x:v>Clevver: storia dichiarata</x:v>
      </x:c>
      <x:c r="C151" s="31" t="str">
        <x:v>https://www.clevver.io/en/about</x:v>
      </x:c>
      <x:c r="D151" s="61" t="d">
        <x:v>2026-10-01T12:00:00.000Z</x:v>
      </x:c>
    </x:row>
    <x:row r="152" ht="32" customHeight="1">
      <x:c r="A152" s="31" t="str">
        <x:v>bp_match</x:v>
      </x:c>
      <x:c r="B152" s="31" t="str">
        <x:v>MatchOffice: storia aziendale</x:v>
      </x:c>
      <x:c r="C152" s="31" t="str">
        <x:v>https://www.matchoffice.in/about-us/company-history</x:v>
      </x:c>
      <x:c r="D152" s="61" t="d">
        <x:v>2026-10-01T12:00:00.000Z</x:v>
      </x:c>
    </x:row>
    <x:row r="153" ht="32" customHeight="1">
      <x:c r="A153" s="31" t="str">
        <x:v>bp_legalplace</x:v>
      </x:c>
      <x:c r="B153" s="31" t="str">
        <x:v>LegalPlace: storia</x:v>
      </x:c>
      <x:c r="C153" s="31" t="str">
        <x:v>https://www.legalplace.fr/about</x:v>
      </x:c>
      <x:c r="D153" s="61" t="d">
        <x:v>2026-10-01T12:00:00.000Z</x:v>
      </x:c>
    </x:row>
    <x:row r="154" ht="32" customHeight="1">
      <x:c r="A154" s="31" t="str">
        <x:v>bp_digidom</x:v>
      </x:c>
      <x:c r="B154" s="31" t="str">
        <x:v>Digidom: storia e AI</x:v>
      </x:c>
      <x:c r="C154" s="31" t="str">
        <x:v>https://www.digidom.pro/a-propos</x:v>
      </x:c>
      <x:c r="D154" s="61" t="d">
        <x:v>2026-10-01T12:00:00.000Z</x:v>
      </x:c>
    </x:row>
    <x:row r="155" ht="32" customHeight="1">
      <x:c r="A155" s="31" t="str">
        <x:v>bp_anytime</x:v>
      </x:c>
      <x:c r="B155" s="31" t="str">
        <x:v>Anytime Mailbox: storia</x:v>
      </x:c>
      <x:c r="C155" s="31" t="str">
        <x:v>https://www.anytimemailbox.com/about-us</x:v>
      </x:c>
      <x:c r="D155" s="61" t="d">
        <x:v>2026-10-01T12:00:00.000Z</x:v>
      </x:c>
    </x:row>
    <x:row r="156" ht="32" customHeight="1">
      <x:c r="A156" s="31" t="str">
        <x:v>bp_ipostal</x:v>
      </x:c>
      <x:c r="B156" s="31" t="str">
        <x:v>iPostal1: storia</x:v>
      </x:c>
      <x:c r="C156" s="31" t="str">
        <x:v>https://ipostal1.com/about-ipostal1.php</x:v>
      </x:c>
      <x:c r="D156" s="61" t="d">
        <x:v>2026-10-01T12:00:00.000Z</x:v>
      </x:c>
    </x:row>
    <x:row r="157" ht="32" customHeight="1">
      <x:c r="A157" s="31" t="str">
        <x:v>bp_davinci</x:v>
      </x:c>
      <x:c r="B157" s="31" t="str">
        <x:v>Davinci: profilo aziendale</x:v>
      </x:c>
      <x:c r="C157" s="31" t="str">
        <x:v>https://www.davincivirtual.com/about-us/about-davinci</x:v>
      </x:c>
      <x:c r="D157" s="61" t="d">
        <x:v>2026-10-01T12:00:00.000Z</x:v>
      </x:c>
    </x:row>
    <x:row r="158" ht="32" customHeight="1">
      <x:c r="A158" s="31" t="str">
        <x:v>bp_alliance</x:v>
      </x:c>
      <x:c r="B158" s="31" t="str">
        <x:v>Alliance: profilo del fondatore</x:v>
      </x:c>
      <x:c r="C158" s="31" t="str">
        <x:v>https://www.alliancevirtualoffices.com/meet-the-team/frank-cottle</x:v>
      </x:c>
      <x:c r="D158" s="61" t="d">
        <x:v>2026-10-01T12:00:00.000Z</x:v>
      </x:c>
    </x:row>
    <x:row r="159" ht="32" customHeight="1">
      <x:c r="A159" s="31" t="str">
        <x:v>bp_trregus</x:v>
      </x:c>
      <x:c r="B159" s="31" t="str">
        <x:v>Semrush: regus.com, luglio 2026</x:v>
      </x:c>
      <x:c r="C159" s="31" t="str">
        <x:v>https://www.semrush.com/website/regus.com/overview/?source=trending-websites</x:v>
      </x:c>
      <x:c r="D159" s="61" t="d">
        <x:v>2026-10-01T12:00:00.000Z</x:v>
      </x:c>
    </x:row>
    <x:row r="160" ht="32" customHeight="1">
      <x:c r="A160" s="31" t="str">
        <x:v>bp_trlex</x:v>
      </x:c>
      <x:c r="B160" s="31" t="str">
        <x:v>Semrush: lexdo.it, luglio 2026</x:v>
      </x:c>
      <x:c r="C160" s="31" t="str">
        <x:v>https://www.semrush.com/website/lexdo.it/overview/</x:v>
      </x:c>
      <x:c r="D160" s="61" t="d">
        <x:v>2026-10-01T12:00:00.000Z</x:v>
      </x:c>
    </x:row>
    <x:row r="161" ht="32" customHeight="1">
      <x:c r="A161" s="31" t="str">
        <x:v>bp_trfisco</x:v>
      </x:c>
      <x:c r="B161" s="31" t="str">
        <x:v>Semrush: fiscozen.it, agosto 2026</x:v>
      </x:c>
      <x:c r="C161" s="31" t="str">
        <x:v>https://www.semrush.com/website/fiscozen.it/overview/</x:v>
      </x:c>
      <x:c r="D161" s="61" t="d">
        <x:v>2026-10-01T12:00:00.000Z</x:v>
      </x:c>
    </x:row>
    <x:row r="162" ht="32" customHeight="1">
      <x:c r="A162" s="31" t="str">
        <x:v>bp_lexfound</x:v>
      </x:c>
      <x:c r="B162" s="31" t="str">
        <x:v>LexDo: storia aziendale, 7 ottobre2025</x:v>
      </x:c>
      <x:c r="C162" s="31" t="str">
        <x:v>https://www.lexdo.it/blog/nuova-brand-identity-per-lexdo-it/</x:v>
      </x:c>
      <x:c r="D162" s="61" t="d">
        <x:v>2026-10-01T12:00:00.000Z</x:v>
      </x:c>
    </x:row>
    <x:row r="163" ht="32" customHeight="1">
      <x:c r="A163" s="31" t="str">
        <x:v>bp_cowfound</x:v>
      </x:c>
      <x:c r="B163" s="31" t="str">
        <x:v>Coworker: storia</x:v>
      </x:c>
      <x:c r="C163" s="31" t="str">
        <x:v>https://www.coworker.com/about-us</x:v>
      </x:c>
      <x:c r="D163" s="61" t="d">
        <x:v>2026-10-01T12:00:00.000Z</x:v>
      </x:c>
    </x:row>
    <x:row r="164" ht="34" customHeight="1">
      <x:c r="A164" s="31" t="str">
        <x:v>bp_instantfound</x:v>
      </x:c>
      <x:c r="B164" s="31" t="str">
        <x:v>Instant Group: fondazione dichiarata</x:v>
      </x:c>
      <x:c r="C164" s="31" t="str">
        <x:v>https://www.theinstantgroup.com/en-gb/breakthrough-insights/research-articles/the-market-is-changing-and-so-are-we/</x:v>
      </x:c>
      <x:c r="D164" s="61" t="d">
        <x:v>2026-10-01T12:00:00.000Z</x:v>
      </x:c>
    </x:row>
    <x:row r="165" ht="32" customHeight="1">
      <x:c r="A165" s="31" t="str">
        <x:v>bp_satfound</x:v>
      </x:c>
      <x:c r="B165" s="31" t="str">
        <x:v>Satellite Office: storia</x:v>
      </x:c>
      <x:c r="C165" s="31" t="str">
        <x:v>https://www.satelliteoffice.de/unternehmen/</x:v>
      </x:c>
      <x:c r="D165" s="61" t="d">
        <x:v>2026-10-01T12:00:00.000Z</x:v>
      </x:c>
    </x:row>
    <x:row r="166" ht="32" customHeight="1">
      <x:c r="A166" s="31" t="str">
        <x:v>bp_officefound</x:v>
      </x:c>
      <x:c r="B166" s="31" t="str">
        <x:v>Office Club: storia</x:v>
      </x:c>
      <x:c r="C166" s="31" t="str">
        <x:v>https://www.officeclub.com/en/the-club</x:v>
      </x:c>
      <x:c r="D166" s="61" t="d">
        <x:v>2026-10-01T12:00:00.000Z</x:v>
      </x:c>
    </x:row>
    <x:row r="167" ht="32" customHeight="1">
      <x:c r="A167" s="31" t="str">
        <x:v>bp_oneoffice</x:v>
      </x:c>
      <x:c r="B167" s="31" t="str">
        <x:v>1Office: storia del servizio</x:v>
      </x:c>
      <x:c r="C167" s="31" t="str">
        <x:v>https://1office.co/blog/new-ceo-1office-group-ragnar-everest/</x:v>
      </x:c>
      <x:c r="D167" s="61" t="d">
        <x:v>2026-10-01T12:00:00.000Z</x:v>
      </x:c>
    </x:row>
    <x:row r="168" ht="32" customHeight="1">
      <x:c r="A168" s="31" t="str">
        <x:v>bp_xolofound</x:v>
      </x:c>
      <x:c r="B168" s="31" t="str">
        <x:v>Xolo: storia e revenue run-rate dichiarato</x:v>
      </x:c>
      <x:c r="C168" s="31" t="str">
        <x:v>https://www.xolo.io/zz-en/about</x:v>
      </x:c>
      <x:c r="D168" s="61" t="d">
        <x:v>2026-10-01T12:00:00.000Z</x:v>
      </x:c>
    </x:row>
    <x:row r="169" ht="32" customHeight="1">
      <x:c r="A169" s="31" t="str">
        <x:v>bp_valofound</x:v>
      </x:c>
      <x:c r="B169" s="31" t="str">
        <x:v>VALO: apertura della struttura</x:v>
      </x:c>
      <x:c r="C169" s="31" t="str">
        <x:v>https://valo.fi/en/open-jobs/</x:v>
      </x:c>
      <x:c r="D169" s="61" t="d">
        <x:v>2026-10-01T12:00:00.000Z</x:v>
      </x:c>
    </x:row>
    <x:row r="170" ht="32" customHeight="1">
      <x:c r="A170" s="31" t="str">
        <x:v>bp_fiscofin</x:v>
      </x:c>
      <x:c r="B170" s="31" t="str">
        <x:v>Aziende.it: Fiscozen SPA, dati secondari</x:v>
      </x:c>
      <x:c r="C170" s="31" t="str">
        <x:v>https://www.aziende.it/fiscozen-s-p-a</x:v>
      </x:c>
      <x:c r="D170" s="61" t="d">
        <x:v>2026-10-01T12:00:00.000Z</x:v>
      </x:c>
    </x:row>
    <x:row r="171" ht="34" customHeight="1">
      <x:c r="A171" s="31" t="str">
        <x:v>bp_fiscofin2</x:v>
      </x:c>
      <x:c r="B171" s="31" t="str">
        <x:v>UfficioCamerale.it: Fiscozen SPA, sito commerciale non Camera di Commercio</x:v>
      </x:c>
      <x:c r="C171" s="31" t="str">
        <x:v>https://www.ufficiocamerale.it/8499/fiscozen-spa</x:v>
      </x:c>
      <x:c r="D171" s="61" t="d">
        <x:v>2026-10-01T12:00:00.000Z</x:v>
      </x:c>
    </x:row>
    <x:row r="172" ht="32" customHeight="1">
      <x:c r="A172" s="31" t="str">
        <x:v>bp_lexfin</x:v>
      </x:c>
      <x:c r="B172" s="31" t="str">
        <x:v>Aziende.it: LexDo.it SRL, dati secondari2024</x:v>
      </x:c>
      <x:c r="C172" s="31" t="str">
        <x:v>https://www.aziende.it/lexdo-it-s-r-l</x:v>
      </x:c>
      <x:c r="D172" s="61" t="d">
        <x:v>2026-10-01T12:00:00.000Z</x:v>
      </x:c>
    </x:row>
    <x:row r="173" ht="34" customHeight="1">
      <x:c r="A173" s="31" t="str">
        <x:v>bp_oic</x:v>
      </x:c>
      <x:c r="B173" s="31" t="str">
        <x:v>OIC34: ricavi, operazioni per conto proprio e per conto terzi</x:v>
      </x:c>
      <x:c r="C173" s="31" t="str">
        <x:v>https://www.fondazioneoic.eu/wp-content/uploads/2024/10/2023-04-19-OIC-34-Ricavi-.pdf</x:v>
      </x:c>
      <x:c r="D173" s="61" t="d">
        <x:v>2026-10-01T12:00:00.000Z</x:v>
      </x:c>
    </x:row>
    <x:row r="174" ht="34" customHeight="1">
      <x:c r="A174" s="31" t="str">
        <x:v>bp_irap</x:v>
      </x:c>
      <x:c r="B174" s="31" t="str">
        <x:v>Dipartimento Finanze: aliquote IRAP regionali per anno</x:v>
      </x:c>
      <x:c r="C174" s="31" t="str">
        <x:v>https://www1.finanze.gov.it/finanze2/dipartimentopolitichefiscali/fiscalitalocale/aliquoteirap/impregirap.php</x:v>
      </x:c>
      <x:c r="D174" s="61" t="d">
        <x:v>2026-10-01T12:00:00.000Z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0ad4ef9a003546d2"/>
  </x:tableParts>
</x:worksheet>
</file>